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0" yWindow="390" windowWidth="21600" windowHeight="15000"/>
  </bookViews>
  <sheets>
    <sheet name="Lichthinder" sheetId="1" r:id="rId1"/>
    <sheet name="Uitleg" sheetId="2" r:id="rId2"/>
  </sheets>
  <definedNames>
    <definedName name="_xlnm.Print_Area" localSheetId="0">Lichthinder!$B$1:$S$55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44" i="1"/>
  <c r="D54" l="1"/>
  <c r="D53"/>
  <c r="D52"/>
  <c r="D51"/>
  <c r="D50"/>
  <c r="D49"/>
  <c r="D48"/>
  <c r="D47"/>
  <c r="D43"/>
  <c r="D42"/>
  <c r="D41"/>
  <c r="D40"/>
  <c r="D39"/>
  <c r="D38"/>
  <c r="D37"/>
  <c r="D36"/>
  <c r="C54"/>
  <c r="C53"/>
  <c r="C52"/>
  <c r="C51"/>
  <c r="C50"/>
  <c r="C49"/>
  <c r="C48"/>
  <c r="C47"/>
  <c r="C32"/>
  <c r="C31"/>
  <c r="C30"/>
  <c r="C29"/>
  <c r="C28"/>
  <c r="C27"/>
  <c r="C26"/>
  <c r="C25"/>
  <c r="AL7"/>
  <c r="AL6"/>
  <c r="AL5"/>
  <c r="AP5" s="1"/>
  <c r="AL4"/>
  <c r="AO4" s="1"/>
  <c r="S55"/>
  <c r="S22"/>
  <c r="S33"/>
  <c r="B33"/>
  <c r="B44" s="1"/>
  <c r="B55" s="1"/>
  <c r="Y9"/>
  <c r="X9"/>
  <c r="Z5" s="1"/>
  <c r="W9"/>
  <c r="X5" s="1"/>
  <c r="Z4" l="1"/>
  <c r="X4"/>
  <c r="AP4"/>
  <c r="AN5"/>
  <c r="AN4"/>
  <c r="AM4"/>
  <c r="AQ4"/>
  <c r="AO5"/>
  <c r="AM5"/>
  <c r="AQ5"/>
  <c r="AR21"/>
  <c r="AR20"/>
  <c r="AR19"/>
  <c r="AR18"/>
  <c r="AR17"/>
  <c r="AR16"/>
  <c r="AR15"/>
  <c r="AR14"/>
  <c r="AB21"/>
  <c r="AA21"/>
  <c r="Z21"/>
  <c r="Y21"/>
  <c r="AN21" s="1"/>
  <c r="X21"/>
  <c r="AM21" s="1"/>
  <c r="W21"/>
  <c r="AB20"/>
  <c r="AA20"/>
  <c r="Z20"/>
  <c r="Y20"/>
  <c r="AN20" s="1"/>
  <c r="X20"/>
  <c r="AM20" s="1"/>
  <c r="W20"/>
  <c r="AL20" s="1"/>
  <c r="AB19"/>
  <c r="AA19"/>
  <c r="Z19"/>
  <c r="Y19"/>
  <c r="AN19" s="1"/>
  <c r="X19"/>
  <c r="AM19" s="1"/>
  <c r="W19"/>
  <c r="AL19" s="1"/>
  <c r="AB18"/>
  <c r="AA18"/>
  <c r="Z18"/>
  <c r="Y18"/>
  <c r="AN18" s="1"/>
  <c r="X18"/>
  <c r="AM18" s="1"/>
  <c r="W18"/>
  <c r="AB17"/>
  <c r="AA17"/>
  <c r="Z17"/>
  <c r="Y17"/>
  <c r="AN17" s="1"/>
  <c r="X17"/>
  <c r="AM17" s="1"/>
  <c r="W17"/>
  <c r="AL17" s="1"/>
  <c r="AB16"/>
  <c r="AA16"/>
  <c r="Z16"/>
  <c r="Y16"/>
  <c r="AN16" s="1"/>
  <c r="X16"/>
  <c r="AM16" s="1"/>
  <c r="W16"/>
  <c r="AB15"/>
  <c r="AA15"/>
  <c r="Z15"/>
  <c r="Y15"/>
  <c r="AN15" s="1"/>
  <c r="X15"/>
  <c r="AM15" s="1"/>
  <c r="W15"/>
  <c r="AB14"/>
  <c r="AA14"/>
  <c r="Z14"/>
  <c r="Y14"/>
  <c r="AN14" s="1"/>
  <c r="X14"/>
  <c r="W14"/>
  <c r="AL14" s="1"/>
  <c r="AR22" l="1"/>
  <c r="AD16"/>
  <c r="AD18"/>
  <c r="AD15"/>
  <c r="AD21"/>
  <c r="AD19"/>
  <c r="AD20"/>
  <c r="AL18"/>
  <c r="AL21"/>
  <c r="AM14"/>
  <c r="AL15"/>
  <c r="AL16"/>
  <c r="AD14"/>
  <c r="AD17"/>
  <c r="AR54"/>
  <c r="AR53"/>
  <c r="AR52"/>
  <c r="AR51"/>
  <c r="AR50"/>
  <c r="AR49"/>
  <c r="AR48"/>
  <c r="AR47"/>
  <c r="AR43"/>
  <c r="AR42"/>
  <c r="AR41"/>
  <c r="AR40"/>
  <c r="AR39"/>
  <c r="AR38"/>
  <c r="AR37"/>
  <c r="AR36"/>
  <c r="AR32"/>
  <c r="AR31"/>
  <c r="AR30"/>
  <c r="AR29"/>
  <c r="AR28"/>
  <c r="AR27"/>
  <c r="AR26"/>
  <c r="AR25"/>
  <c r="AK21"/>
  <c r="AJ21"/>
  <c r="AI21"/>
  <c r="AH21"/>
  <c r="AE21"/>
  <c r="AG21" s="1"/>
  <c r="AK20"/>
  <c r="AJ20"/>
  <c r="AI20"/>
  <c r="AH20"/>
  <c r="AE20"/>
  <c r="AG20" s="1"/>
  <c r="AK19"/>
  <c r="AJ19"/>
  <c r="AI19"/>
  <c r="AH19"/>
  <c r="AE19"/>
  <c r="AG19" s="1"/>
  <c r="AK18"/>
  <c r="AJ18"/>
  <c r="AI18"/>
  <c r="AH18"/>
  <c r="AE18"/>
  <c r="AG18" s="1"/>
  <c r="AK17"/>
  <c r="AJ17"/>
  <c r="AI17"/>
  <c r="AH17"/>
  <c r="AE17"/>
  <c r="AG17" s="1"/>
  <c r="AK16"/>
  <c r="AJ16"/>
  <c r="AI16"/>
  <c r="AH16"/>
  <c r="AE16"/>
  <c r="AG16" s="1"/>
  <c r="AK15"/>
  <c r="AJ15"/>
  <c r="AI15"/>
  <c r="AH15"/>
  <c r="AE15"/>
  <c r="AG15" s="1"/>
  <c r="AK14"/>
  <c r="AJ14"/>
  <c r="AI14"/>
  <c r="AH14"/>
  <c r="AE14"/>
  <c r="AG14" s="1"/>
  <c r="H32" l="1"/>
  <c r="AR33"/>
  <c r="B50" s="1"/>
  <c r="AR44"/>
  <c r="AR55"/>
  <c r="B17"/>
  <c r="L17"/>
  <c r="M17"/>
  <c r="O17"/>
  <c r="B21"/>
  <c r="L21"/>
  <c r="M21"/>
  <c r="O21"/>
  <c r="B28"/>
  <c r="B32"/>
  <c r="B39"/>
  <c r="B43"/>
  <c r="B54"/>
  <c r="B16"/>
  <c r="L16"/>
  <c r="M16"/>
  <c r="O16"/>
  <c r="B20"/>
  <c r="L20"/>
  <c r="M20"/>
  <c r="O20"/>
  <c r="B27"/>
  <c r="B31"/>
  <c r="B38"/>
  <c r="B42"/>
  <c r="B49"/>
  <c r="B53"/>
  <c r="L15"/>
  <c r="M15"/>
  <c r="O15"/>
  <c r="B19"/>
  <c r="L19"/>
  <c r="M19"/>
  <c r="O19"/>
  <c r="B30"/>
  <c r="B41"/>
  <c r="B52"/>
  <c r="B14"/>
  <c r="L14"/>
  <c r="M14"/>
  <c r="B18"/>
  <c r="L18"/>
  <c r="M18"/>
  <c r="O18"/>
  <c r="B29"/>
  <c r="B40"/>
  <c r="B36"/>
  <c r="B25"/>
  <c r="B37"/>
  <c r="B26"/>
  <c r="C43"/>
  <c r="G43"/>
  <c r="AK43" s="1"/>
  <c r="F43"/>
  <c r="E43"/>
  <c r="AN43" s="1"/>
  <c r="E54"/>
  <c r="AN54" s="1"/>
  <c r="E32"/>
  <c r="AN32" s="1"/>
  <c r="AM43"/>
  <c r="H43"/>
  <c r="AM54"/>
  <c r="H54"/>
  <c r="G31"/>
  <c r="AH31" s="1"/>
  <c r="M31" s="1"/>
  <c r="F42"/>
  <c r="AM53"/>
  <c r="E42"/>
  <c r="AN42" s="1"/>
  <c r="E31"/>
  <c r="AN31" s="1"/>
  <c r="AM42"/>
  <c r="H42"/>
  <c r="D31"/>
  <c r="AM31" s="1"/>
  <c r="H31"/>
  <c r="C42"/>
  <c r="G42"/>
  <c r="E53"/>
  <c r="AN53" s="1"/>
  <c r="D30"/>
  <c r="AM30" s="1"/>
  <c r="H30"/>
  <c r="E41"/>
  <c r="AN41" s="1"/>
  <c r="E52"/>
  <c r="AN52" s="1"/>
  <c r="G30"/>
  <c r="AK30" s="1"/>
  <c r="AM41"/>
  <c r="H41"/>
  <c r="AM52"/>
  <c r="H52"/>
  <c r="C41"/>
  <c r="G41"/>
  <c r="AK41" s="1"/>
  <c r="E30"/>
  <c r="AN30" s="1"/>
  <c r="F41"/>
  <c r="E29"/>
  <c r="AN29" s="1"/>
  <c r="AM40"/>
  <c r="H40"/>
  <c r="D29"/>
  <c r="AM29" s="1"/>
  <c r="H29"/>
  <c r="C40"/>
  <c r="G40"/>
  <c r="E51"/>
  <c r="AN51" s="1"/>
  <c r="G29"/>
  <c r="G51" s="1"/>
  <c r="F40"/>
  <c r="AM51"/>
  <c r="H51"/>
  <c r="E40"/>
  <c r="AN40" s="1"/>
  <c r="D32"/>
  <c r="AM32" s="1"/>
  <c r="G32"/>
  <c r="G54" s="1"/>
  <c r="B15"/>
  <c r="AF14"/>
  <c r="K14" s="1"/>
  <c r="AF19"/>
  <c r="K19" s="1"/>
  <c r="AO18"/>
  <c r="AQ18" s="1"/>
  <c r="P18" s="1"/>
  <c r="AF21"/>
  <c r="K21" s="1"/>
  <c r="AO20"/>
  <c r="AQ20" s="1"/>
  <c r="P20" s="1"/>
  <c r="AF15"/>
  <c r="K15" s="1"/>
  <c r="AO16"/>
  <c r="AF17"/>
  <c r="K17" s="1"/>
  <c r="AO15"/>
  <c r="AQ15" s="1"/>
  <c r="P15" s="1"/>
  <c r="AF16"/>
  <c r="K16" s="1"/>
  <c r="AO17"/>
  <c r="AQ17" s="1"/>
  <c r="P17" s="1"/>
  <c r="AF18"/>
  <c r="K18" s="1"/>
  <c r="AO19"/>
  <c r="AF20"/>
  <c r="K20" s="1"/>
  <c r="AO21"/>
  <c r="AQ21" s="1"/>
  <c r="P21" s="1"/>
  <c r="B51" l="1"/>
  <c r="B47"/>
  <c r="B48"/>
  <c r="AD51"/>
  <c r="O51" s="1"/>
  <c r="AL51"/>
  <c r="AD54"/>
  <c r="O54" s="1"/>
  <c r="AL54"/>
  <c r="AL41"/>
  <c r="AD41"/>
  <c r="O41" s="1"/>
  <c r="AD31"/>
  <c r="O31" s="1"/>
  <c r="AL31"/>
  <c r="AD42"/>
  <c r="O42" s="1"/>
  <c r="AL42"/>
  <c r="AD32"/>
  <c r="O32" s="1"/>
  <c r="AL32"/>
  <c r="AD29"/>
  <c r="O29" s="1"/>
  <c r="AL29"/>
  <c r="AD53"/>
  <c r="O53" s="1"/>
  <c r="AL53"/>
  <c r="AD43"/>
  <c r="O43" s="1"/>
  <c r="AL43"/>
  <c r="AD40"/>
  <c r="O40" s="1"/>
  <c r="AL40"/>
  <c r="AL52"/>
  <c r="AD52"/>
  <c r="O52" s="1"/>
  <c r="AD30"/>
  <c r="O30" s="1"/>
  <c r="AL30"/>
  <c r="AT17"/>
  <c r="AU17"/>
  <c r="AV17"/>
  <c r="AS17"/>
  <c r="AP19"/>
  <c r="AQ19"/>
  <c r="P19" s="1"/>
  <c r="AP16"/>
  <c r="AQ16"/>
  <c r="P16" s="1"/>
  <c r="H53"/>
  <c r="AH30"/>
  <c r="M30" s="1"/>
  <c r="G52"/>
  <c r="AE52" s="1"/>
  <c r="AE42"/>
  <c r="AG42" s="1"/>
  <c r="L42" s="1"/>
  <c r="G53"/>
  <c r="AH53" s="1"/>
  <c r="M53" s="1"/>
  <c r="AE31"/>
  <c r="AK31"/>
  <c r="AE41"/>
  <c r="AG41" s="1"/>
  <c r="L41" s="1"/>
  <c r="E25"/>
  <c r="AN25" s="1"/>
  <c r="G25"/>
  <c r="G47" s="1"/>
  <c r="H25"/>
  <c r="D25"/>
  <c r="E47"/>
  <c r="AN47" s="1"/>
  <c r="AM47"/>
  <c r="G36"/>
  <c r="C36"/>
  <c r="H36"/>
  <c r="AM36"/>
  <c r="E36"/>
  <c r="AN36" s="1"/>
  <c r="F36"/>
  <c r="AI42"/>
  <c r="AK42"/>
  <c r="AH41"/>
  <c r="M41" s="1"/>
  <c r="AH42"/>
  <c r="M42" s="1"/>
  <c r="G28"/>
  <c r="G50" s="1"/>
  <c r="H28"/>
  <c r="D28"/>
  <c r="AM28" s="1"/>
  <c r="E28"/>
  <c r="AN28" s="1"/>
  <c r="H39"/>
  <c r="AM39"/>
  <c r="E39"/>
  <c r="AN39" s="1"/>
  <c r="F39"/>
  <c r="G39"/>
  <c r="C39"/>
  <c r="AM50"/>
  <c r="E50"/>
  <c r="AN50" s="1"/>
  <c r="E49"/>
  <c r="AN49" s="1"/>
  <c r="AM49"/>
  <c r="G27"/>
  <c r="G49" s="1"/>
  <c r="H27"/>
  <c r="D27"/>
  <c r="AM27" s="1"/>
  <c r="E27"/>
  <c r="AN27" s="1"/>
  <c r="G38"/>
  <c r="AK38" s="1"/>
  <c r="C38"/>
  <c r="H38"/>
  <c r="AM38"/>
  <c r="E38"/>
  <c r="AN38" s="1"/>
  <c r="F38"/>
  <c r="H26"/>
  <c r="D26"/>
  <c r="AM26" s="1"/>
  <c r="E26"/>
  <c r="AN26" s="1"/>
  <c r="G26"/>
  <c r="G48" s="1"/>
  <c r="E48"/>
  <c r="AN48" s="1"/>
  <c r="AM48"/>
  <c r="E37"/>
  <c r="AN37" s="1"/>
  <c r="F37"/>
  <c r="G37"/>
  <c r="H37"/>
  <c r="AM37"/>
  <c r="C37"/>
  <c r="AE30"/>
  <c r="AI43"/>
  <c r="AJ42"/>
  <c r="AK54"/>
  <c r="AE54"/>
  <c r="AH54"/>
  <c r="M54" s="1"/>
  <c r="AH43"/>
  <c r="M43" s="1"/>
  <c r="AE43"/>
  <c r="AF43" s="1"/>
  <c r="K43" s="1"/>
  <c r="AJ43"/>
  <c r="AP18"/>
  <c r="AH40"/>
  <c r="M40" s="1"/>
  <c r="AE40"/>
  <c r="AG40" s="1"/>
  <c r="L40" s="1"/>
  <c r="AK40"/>
  <c r="AI41"/>
  <c r="AJ41"/>
  <c r="AI40"/>
  <c r="AJ40"/>
  <c r="AH29"/>
  <c r="M29" s="1"/>
  <c r="AE29"/>
  <c r="AK29"/>
  <c r="AK32"/>
  <c r="AH32"/>
  <c r="M32" s="1"/>
  <c r="AE32"/>
  <c r="AP20"/>
  <c r="AP15"/>
  <c r="AP21"/>
  <c r="AP17"/>
  <c r="AC21"/>
  <c r="AS21"/>
  <c r="AC20"/>
  <c r="AS20"/>
  <c r="AC19"/>
  <c r="AD48" l="1"/>
  <c r="AL48"/>
  <c r="AD39"/>
  <c r="O39" s="1"/>
  <c r="AL39"/>
  <c r="AM25"/>
  <c r="AD38"/>
  <c r="O38" s="1"/>
  <c r="AL38"/>
  <c r="AD49"/>
  <c r="O49" s="1"/>
  <c r="AL49"/>
  <c r="AD36"/>
  <c r="AL36"/>
  <c r="AD47"/>
  <c r="O47" s="1"/>
  <c r="AL47"/>
  <c r="AD26"/>
  <c r="O26" s="1"/>
  <c r="AL26"/>
  <c r="AL25"/>
  <c r="AD25"/>
  <c r="O25" s="1"/>
  <c r="AD37"/>
  <c r="O37" s="1"/>
  <c r="AL37"/>
  <c r="AD27"/>
  <c r="O27" s="1"/>
  <c r="AL27"/>
  <c r="AD50"/>
  <c r="O50" s="1"/>
  <c r="AL50"/>
  <c r="AL28"/>
  <c r="AD28"/>
  <c r="O28" s="1"/>
  <c r="AU21"/>
  <c r="AT21"/>
  <c r="AV21"/>
  <c r="AT20"/>
  <c r="AV20"/>
  <c r="AU20"/>
  <c r="AV19"/>
  <c r="AU19"/>
  <c r="AT19"/>
  <c r="AS19"/>
  <c r="AF42"/>
  <c r="K42" s="1"/>
  <c r="AF41"/>
  <c r="K41" s="1"/>
  <c r="AK53"/>
  <c r="AH52"/>
  <c r="M52" s="1"/>
  <c r="AK52"/>
  <c r="AE53"/>
  <c r="H48"/>
  <c r="H50"/>
  <c r="H49"/>
  <c r="H47"/>
  <c r="F30"/>
  <c r="AG30" s="1"/>
  <c r="L30" s="1"/>
  <c r="F52"/>
  <c r="AG52" s="1"/>
  <c r="L52" s="1"/>
  <c r="F53"/>
  <c r="AI53" s="1"/>
  <c r="F31"/>
  <c r="F32"/>
  <c r="AG32" s="1"/>
  <c r="L32" s="1"/>
  <c r="F54"/>
  <c r="AG54" s="1"/>
  <c r="L54" s="1"/>
  <c r="AJ37"/>
  <c r="AO42"/>
  <c r="AH38"/>
  <c r="M38" s="1"/>
  <c r="AF40"/>
  <c r="K40" s="1"/>
  <c r="AO43"/>
  <c r="AQ43" s="1"/>
  <c r="P43" s="1"/>
  <c r="AJ39"/>
  <c r="AE51"/>
  <c r="AK51"/>
  <c r="AH51"/>
  <c r="M51" s="1"/>
  <c r="AG43"/>
  <c r="L43" s="1"/>
  <c r="AO40"/>
  <c r="AO41"/>
  <c r="AQ41" s="1"/>
  <c r="P41" s="1"/>
  <c r="AJ36"/>
  <c r="AI36"/>
  <c r="AK36"/>
  <c r="AE36"/>
  <c r="AF36" s="1"/>
  <c r="K36" s="1"/>
  <c r="AH36"/>
  <c r="M36" s="1"/>
  <c r="AK37"/>
  <c r="AH37"/>
  <c r="M37" s="1"/>
  <c r="AE37"/>
  <c r="AG37" s="1"/>
  <c r="L37" s="1"/>
  <c r="O36"/>
  <c r="O48"/>
  <c r="AK39"/>
  <c r="AH39"/>
  <c r="M39" s="1"/>
  <c r="AE39"/>
  <c r="AG39" s="1"/>
  <c r="L39" s="1"/>
  <c r="AJ38"/>
  <c r="AI38"/>
  <c r="AI39"/>
  <c r="AE38"/>
  <c r="AF38" s="1"/>
  <c r="K38" s="1"/>
  <c r="AI37"/>
  <c r="AK26"/>
  <c r="AH26"/>
  <c r="M26" s="1"/>
  <c r="AE26"/>
  <c r="AE25"/>
  <c r="AK25"/>
  <c r="AH25"/>
  <c r="M25" s="1"/>
  <c r="AE27"/>
  <c r="AK27"/>
  <c r="AH27"/>
  <c r="M27" s="1"/>
  <c r="AK28"/>
  <c r="AH28"/>
  <c r="M28" s="1"/>
  <c r="AE28"/>
  <c r="O33" l="1"/>
  <c r="O55"/>
  <c r="O44"/>
  <c r="AF30"/>
  <c r="K30" s="1"/>
  <c r="X6"/>
  <c r="Z6"/>
  <c r="AJ53"/>
  <c r="AO53" s="1"/>
  <c r="AQ53" s="1"/>
  <c r="P53" s="1"/>
  <c r="AP40"/>
  <c r="AQ40"/>
  <c r="P40" s="1"/>
  <c r="AP42"/>
  <c r="AQ42"/>
  <c r="P42" s="1"/>
  <c r="AG53"/>
  <c r="L53" s="1"/>
  <c r="AF32"/>
  <c r="K32" s="1"/>
  <c r="AX21"/>
  <c r="BA21" s="1"/>
  <c r="AY21"/>
  <c r="AZ21"/>
  <c r="AW21"/>
  <c r="AF31"/>
  <c r="K31" s="1"/>
  <c r="AI31"/>
  <c r="AJ31"/>
  <c r="AX20"/>
  <c r="BA20" s="1"/>
  <c r="AY20"/>
  <c r="AZ20"/>
  <c r="AW20"/>
  <c r="AI32"/>
  <c r="AJ32"/>
  <c r="AJ30"/>
  <c r="AI30"/>
  <c r="AF54"/>
  <c r="K54" s="1"/>
  <c r="AF52"/>
  <c r="K52" s="1"/>
  <c r="AF53"/>
  <c r="K53" s="1"/>
  <c r="AW19"/>
  <c r="AX19"/>
  <c r="BA19" s="1"/>
  <c r="AY19"/>
  <c r="AZ19"/>
  <c r="AI54"/>
  <c r="AJ54"/>
  <c r="AJ52"/>
  <c r="AI52"/>
  <c r="AG31"/>
  <c r="L31" s="1"/>
  <c r="AP43"/>
  <c r="AP41"/>
  <c r="AO39"/>
  <c r="AG36"/>
  <c r="L36" s="1"/>
  <c r="AF39"/>
  <c r="K39" s="1"/>
  <c r="AG38"/>
  <c r="L38" s="1"/>
  <c r="AK49"/>
  <c r="AE49"/>
  <c r="AH49"/>
  <c r="M49" s="1"/>
  <c r="AO36"/>
  <c r="AQ36" s="1"/>
  <c r="P36" s="1"/>
  <c r="AO38"/>
  <c r="AQ38" s="1"/>
  <c r="P38" s="1"/>
  <c r="AF37"/>
  <c r="K37" s="1"/>
  <c r="AO37"/>
  <c r="AQ37" s="1"/>
  <c r="P37" s="1"/>
  <c r="AK50"/>
  <c r="AH50"/>
  <c r="M50" s="1"/>
  <c r="AE50"/>
  <c r="AK47"/>
  <c r="AE47"/>
  <c r="AH47"/>
  <c r="M47" s="1"/>
  <c r="AK48"/>
  <c r="AH48"/>
  <c r="M48" s="1"/>
  <c r="AE48"/>
  <c r="AC18"/>
  <c r="AC17"/>
  <c r="AC16"/>
  <c r="AC15"/>
  <c r="AC14"/>
  <c r="AS18" l="1"/>
  <c r="AU18"/>
  <c r="AT18"/>
  <c r="AV18"/>
  <c r="AB4"/>
  <c r="AB5" s="1"/>
  <c r="AS41"/>
  <c r="AW41" s="1"/>
  <c r="AT41"/>
  <c r="AX41" s="1"/>
  <c r="BA41" s="1"/>
  <c r="AU41"/>
  <c r="AY41" s="1"/>
  <c r="AV41"/>
  <c r="AZ41" s="1"/>
  <c r="AS43"/>
  <c r="AW43" s="1"/>
  <c r="AT43"/>
  <c r="AX43" s="1"/>
  <c r="AU43"/>
  <c r="AY43" s="1"/>
  <c r="AV43"/>
  <c r="AZ43" s="1"/>
  <c r="AS36"/>
  <c r="AV36"/>
  <c r="AT36"/>
  <c r="AU36"/>
  <c r="AO32"/>
  <c r="AQ32" s="1"/>
  <c r="P32" s="1"/>
  <c r="AO52"/>
  <c r="AP52" s="1"/>
  <c r="AO31"/>
  <c r="AP53"/>
  <c r="AP39"/>
  <c r="AQ39"/>
  <c r="P39" s="1"/>
  <c r="AQ44" s="1"/>
  <c r="F50"/>
  <c r="F28"/>
  <c r="F49"/>
  <c r="F27"/>
  <c r="F26"/>
  <c r="F48"/>
  <c r="F47"/>
  <c r="AF47" s="1"/>
  <c r="K47" s="1"/>
  <c r="F25"/>
  <c r="F29"/>
  <c r="F51"/>
  <c r="AO54"/>
  <c r="AQ54" s="1"/>
  <c r="P54" s="1"/>
  <c r="AO30"/>
  <c r="AQ30" s="1"/>
  <c r="P30" s="1"/>
  <c r="AP38"/>
  <c r="AP37"/>
  <c r="AP36"/>
  <c r="P44" l="1"/>
  <c r="AU44" s="1"/>
  <c r="AY44" s="1"/>
  <c r="BA43"/>
  <c r="AB6"/>
  <c r="AE6" s="1"/>
  <c r="AE7" s="1"/>
  <c r="AS53"/>
  <c r="AW53" s="1"/>
  <c r="AT53"/>
  <c r="AX53" s="1"/>
  <c r="BA53" s="1"/>
  <c r="AU53"/>
  <c r="AY53" s="1"/>
  <c r="AV53"/>
  <c r="AZ53" s="1"/>
  <c r="AS42"/>
  <c r="AW42" s="1"/>
  <c r="AT42"/>
  <c r="AX42" s="1"/>
  <c r="BA42" s="1"/>
  <c r="AU42"/>
  <c r="AY42" s="1"/>
  <c r="AV42"/>
  <c r="AZ42" s="1"/>
  <c r="AS37"/>
  <c r="AW37" s="1"/>
  <c r="AT37"/>
  <c r="AX37" s="1"/>
  <c r="BA37" s="1"/>
  <c r="AU37"/>
  <c r="AY37" s="1"/>
  <c r="AV37"/>
  <c r="AZ37" s="1"/>
  <c r="AP32"/>
  <c r="AS38"/>
  <c r="AW38" s="1"/>
  <c r="AT38"/>
  <c r="AX38" s="1"/>
  <c r="BA38" s="1"/>
  <c r="AU38"/>
  <c r="AY38" s="1"/>
  <c r="AV38"/>
  <c r="AZ38" s="1"/>
  <c r="AT40"/>
  <c r="AX40" s="1"/>
  <c r="BA40" s="1"/>
  <c r="AU40"/>
  <c r="AY40" s="1"/>
  <c r="AV40"/>
  <c r="AZ40" s="1"/>
  <c r="AS40"/>
  <c r="AW40" s="1"/>
  <c r="AD5"/>
  <c r="AD7" s="1"/>
  <c r="AD4"/>
  <c r="AD6" s="1"/>
  <c r="AQ52"/>
  <c r="P52" s="1"/>
  <c r="AQ31"/>
  <c r="P31" s="1"/>
  <c r="AP31"/>
  <c r="AX36"/>
  <c r="BA36" s="1"/>
  <c r="AY36"/>
  <c r="AZ36"/>
  <c r="AW36"/>
  <c r="AI29"/>
  <c r="AJ29"/>
  <c r="AF29"/>
  <c r="K29" s="1"/>
  <c r="AG29"/>
  <c r="L29" s="1"/>
  <c r="AJ51"/>
  <c r="AI51"/>
  <c r="AF51"/>
  <c r="K51" s="1"/>
  <c r="AG51"/>
  <c r="L51" s="1"/>
  <c r="AP54"/>
  <c r="AP30"/>
  <c r="AI48"/>
  <c r="AJ48"/>
  <c r="AG48"/>
  <c r="L48" s="1"/>
  <c r="AF48"/>
  <c r="K48" s="1"/>
  <c r="AI50"/>
  <c r="AJ50"/>
  <c r="AF50"/>
  <c r="K50" s="1"/>
  <c r="AG50"/>
  <c r="L50" s="1"/>
  <c r="AJ49"/>
  <c r="AI49"/>
  <c r="AG49"/>
  <c r="L49" s="1"/>
  <c r="AJ47"/>
  <c r="AI47"/>
  <c r="AG47"/>
  <c r="L47" s="1"/>
  <c r="AF49"/>
  <c r="K49" s="1"/>
  <c r="AI27"/>
  <c r="AJ27"/>
  <c r="AF27"/>
  <c r="K27" s="1"/>
  <c r="AG27"/>
  <c r="L27" s="1"/>
  <c r="AI28"/>
  <c r="AJ28"/>
  <c r="AF28"/>
  <c r="K28" s="1"/>
  <c r="AG28"/>
  <c r="L28" s="1"/>
  <c r="AI25"/>
  <c r="AJ25"/>
  <c r="AF25"/>
  <c r="K25" s="1"/>
  <c r="AG25"/>
  <c r="L25" s="1"/>
  <c r="AI26"/>
  <c r="AJ26"/>
  <c r="AF26"/>
  <c r="K26" s="1"/>
  <c r="AG26"/>
  <c r="L26" s="1"/>
  <c r="AS44" l="1"/>
  <c r="AW44" s="1"/>
  <c r="AV44"/>
  <c r="AZ44" s="1"/>
  <c r="AT44"/>
  <c r="AX44" s="1"/>
  <c r="BA44" s="1"/>
  <c r="Q44" s="1"/>
  <c r="AE4"/>
  <c r="AE5" s="1"/>
  <c r="AT39"/>
  <c r="AX39" s="1"/>
  <c r="BA39" s="1"/>
  <c r="AU39"/>
  <c r="AY39" s="1"/>
  <c r="AS39"/>
  <c r="AW39" s="1"/>
  <c r="AV39"/>
  <c r="AZ39" s="1"/>
  <c r="AT32"/>
  <c r="AX32" s="1"/>
  <c r="BA32" s="1"/>
  <c r="AU32"/>
  <c r="AY32" s="1"/>
  <c r="AV32"/>
  <c r="AZ32" s="1"/>
  <c r="AS32"/>
  <c r="AW32" s="1"/>
  <c r="AS30"/>
  <c r="AW30" s="1"/>
  <c r="AT30"/>
  <c r="AX30" s="1"/>
  <c r="BA30" s="1"/>
  <c r="AU30"/>
  <c r="AY30" s="1"/>
  <c r="AV30"/>
  <c r="AZ30" s="1"/>
  <c r="AS52"/>
  <c r="AW52" s="1"/>
  <c r="AT52"/>
  <c r="AX52" s="1"/>
  <c r="BA52" s="1"/>
  <c r="AU52"/>
  <c r="AY52" s="1"/>
  <c r="AV52"/>
  <c r="AZ52" s="1"/>
  <c r="AS54"/>
  <c r="AW54" s="1"/>
  <c r="AT54"/>
  <c r="AX54" s="1"/>
  <c r="BA54" s="1"/>
  <c r="AU54"/>
  <c r="AY54" s="1"/>
  <c r="AV54"/>
  <c r="AZ54" s="1"/>
  <c r="AO51"/>
  <c r="AQ51" s="1"/>
  <c r="P51" s="1"/>
  <c r="AX18"/>
  <c r="BA18" s="1"/>
  <c r="AY18"/>
  <c r="AZ18"/>
  <c r="AW18"/>
  <c r="AO29"/>
  <c r="AQ29" s="1"/>
  <c r="P29" s="1"/>
  <c r="AO49"/>
  <c r="AQ49" s="1"/>
  <c r="P49" s="1"/>
  <c r="AO26"/>
  <c r="AQ26" s="1"/>
  <c r="P26" s="1"/>
  <c r="AO47"/>
  <c r="AQ47" s="1"/>
  <c r="P47" s="1"/>
  <c r="AO50"/>
  <c r="AQ50" s="1"/>
  <c r="P50" s="1"/>
  <c r="AO48"/>
  <c r="AQ48" s="1"/>
  <c r="P48" s="1"/>
  <c r="AO25"/>
  <c r="AQ25" s="1"/>
  <c r="P25" s="1"/>
  <c r="AO28"/>
  <c r="AQ28" s="1"/>
  <c r="P28" s="1"/>
  <c r="AO27"/>
  <c r="AQ27" s="1"/>
  <c r="P27" s="1"/>
  <c r="AO14"/>
  <c r="AQ33" l="1"/>
  <c r="AQ55"/>
  <c r="AT31"/>
  <c r="AX31" s="1"/>
  <c r="BA31" s="1"/>
  <c r="AU31"/>
  <c r="AY31" s="1"/>
  <c r="AS31"/>
  <c r="AW31" s="1"/>
  <c r="AV31"/>
  <c r="AZ31" s="1"/>
  <c r="AS25"/>
  <c r="AU25"/>
  <c r="AV25"/>
  <c r="AT25"/>
  <c r="AP51"/>
  <c r="AP14"/>
  <c r="AQ14"/>
  <c r="P14" s="1"/>
  <c r="AQ22" s="1"/>
  <c r="AP29"/>
  <c r="AP26"/>
  <c r="AP49"/>
  <c r="AP47"/>
  <c r="AP48"/>
  <c r="AP50"/>
  <c r="AP25"/>
  <c r="AP28"/>
  <c r="AP27"/>
  <c r="P22" l="1"/>
  <c r="P33"/>
  <c r="AT33" s="1"/>
  <c r="AX33" s="1"/>
  <c r="BA33" s="1"/>
  <c r="Q33" s="1"/>
  <c r="P55"/>
  <c r="AS48"/>
  <c r="AW48" s="1"/>
  <c r="AT48"/>
  <c r="AX48" s="1"/>
  <c r="BA48" s="1"/>
  <c r="AU48"/>
  <c r="AY48" s="1"/>
  <c r="AV48"/>
  <c r="AZ48" s="1"/>
  <c r="AS50"/>
  <c r="AW50" s="1"/>
  <c r="AT50"/>
  <c r="AX50" s="1"/>
  <c r="BA50" s="1"/>
  <c r="AU50"/>
  <c r="AY50" s="1"/>
  <c r="AV50"/>
  <c r="AZ50" s="1"/>
  <c r="AT27"/>
  <c r="AX27" s="1"/>
  <c r="BA27" s="1"/>
  <c r="AU27"/>
  <c r="AY27" s="1"/>
  <c r="AV27"/>
  <c r="AZ27" s="1"/>
  <c r="AS27"/>
  <c r="AW27" s="1"/>
  <c r="AT28"/>
  <c r="AX28" s="1"/>
  <c r="BA28" s="1"/>
  <c r="AU28"/>
  <c r="AY28" s="1"/>
  <c r="AS28"/>
  <c r="AW28" s="1"/>
  <c r="AV28"/>
  <c r="AZ28" s="1"/>
  <c r="AS49"/>
  <c r="AW49" s="1"/>
  <c r="AT49"/>
  <c r="AX49" s="1"/>
  <c r="BA49" s="1"/>
  <c r="AU49"/>
  <c r="AY49" s="1"/>
  <c r="AV49"/>
  <c r="AZ49" s="1"/>
  <c r="AS51"/>
  <c r="AW51" s="1"/>
  <c r="AT51"/>
  <c r="AX51" s="1"/>
  <c r="BA51" s="1"/>
  <c r="AU51"/>
  <c r="AY51" s="1"/>
  <c r="AV51"/>
  <c r="AZ51" s="1"/>
  <c r="AT26"/>
  <c r="AX26" s="1"/>
  <c r="BA26" s="1"/>
  <c r="AU26"/>
  <c r="AY26" s="1"/>
  <c r="AS26"/>
  <c r="AW26" s="1"/>
  <c r="AV26"/>
  <c r="AZ26" s="1"/>
  <c r="AT29"/>
  <c r="AX29" s="1"/>
  <c r="BA29" s="1"/>
  <c r="AU29"/>
  <c r="AY29" s="1"/>
  <c r="AV29"/>
  <c r="AZ29" s="1"/>
  <c r="AS29"/>
  <c r="AW29" s="1"/>
  <c r="AS47"/>
  <c r="AW47" s="1"/>
  <c r="AT47"/>
  <c r="AX47" s="1"/>
  <c r="BA47" s="1"/>
  <c r="AU47"/>
  <c r="AY47" s="1"/>
  <c r="AV47"/>
  <c r="AZ47" s="1"/>
  <c r="AW25"/>
  <c r="AX25"/>
  <c r="BA25" s="1"/>
  <c r="AY25"/>
  <c r="AZ25"/>
  <c r="AX17"/>
  <c r="BA17" s="1"/>
  <c r="AV33" l="1"/>
  <c r="AZ33" s="1"/>
  <c r="AS33"/>
  <c r="AW33" s="1"/>
  <c r="AU33"/>
  <c r="AY33" s="1"/>
  <c r="AT55"/>
  <c r="AX55" s="1"/>
  <c r="BA55" s="1"/>
  <c r="Q55" s="1"/>
  <c r="AU55"/>
  <c r="AY55" s="1"/>
  <c r="AV55"/>
  <c r="AZ55" s="1"/>
  <c r="AS55"/>
  <c r="AW55" s="1"/>
  <c r="O14"/>
  <c r="AT16"/>
  <c r="AX16" s="1"/>
  <c r="BA16" s="1"/>
  <c r="AS16"/>
  <c r="AW16" s="1"/>
  <c r="AU16"/>
  <c r="AY16" s="1"/>
  <c r="AV16"/>
  <c r="AZ16" s="1"/>
  <c r="AY17"/>
  <c r="AZ17"/>
  <c r="AW17"/>
  <c r="AU14" l="1"/>
  <c r="AY14" s="1"/>
  <c r="O22"/>
  <c r="AV14"/>
  <c r="AZ14" s="1"/>
  <c r="AT14"/>
  <c r="AX14" s="1"/>
  <c r="BA14" s="1"/>
  <c r="AS14"/>
  <c r="AW14" s="1"/>
  <c r="AT15"/>
  <c r="AX15" s="1"/>
  <c r="BA15" s="1"/>
  <c r="AU15"/>
  <c r="AY15" s="1"/>
  <c r="AV15"/>
  <c r="AZ15" s="1"/>
  <c r="AS15"/>
  <c r="AW15" s="1"/>
  <c r="AU22" l="1"/>
  <c r="AY22" s="1"/>
  <c r="AT22"/>
  <c r="AX22" s="1"/>
  <c r="BA22" s="1"/>
  <c r="Q22" s="1"/>
  <c r="AV22"/>
  <c r="AZ22" s="1"/>
  <c r="AS22"/>
  <c r="AW22" s="1"/>
</calcChain>
</file>

<file path=xl/comments1.xml><?xml version="1.0" encoding="utf-8"?>
<comments xmlns="http://schemas.openxmlformats.org/spreadsheetml/2006/main">
  <authors>
    <author>Andre Bakker</author>
    <author>Henk Stolk</author>
  </authors>
  <commentList>
    <comment ref="H6" authorId="0">
      <text>
        <r>
          <rPr>
            <sz val="10"/>
            <color indexed="81"/>
            <rFont val="Calibri"/>
            <family val="2"/>
            <scheme val="minor"/>
          </rPr>
          <t>X-waarde
middelpunt
ten behoeve van
XY-symmetrie</t>
        </r>
      </text>
    </comment>
    <comment ref="H7" authorId="0">
      <text>
        <r>
          <rPr>
            <sz val="10"/>
            <color indexed="81"/>
            <rFont val="Calibri"/>
            <family val="2"/>
            <scheme val="minor"/>
          </rPr>
          <t>Y-waarde
middelpunt
ten behoeve van
XY-symmetrie</t>
        </r>
      </text>
    </comment>
    <comment ref="H8" authorId="0">
      <text>
        <r>
          <rPr>
            <sz val="10"/>
            <color indexed="81"/>
            <rFont val="Calibri"/>
            <family val="2"/>
            <scheme val="minor"/>
          </rPr>
          <t>Lengte veld
in X-richting</t>
        </r>
      </text>
    </comment>
    <comment ref="H9" authorId="0">
      <text>
        <r>
          <rPr>
            <sz val="10"/>
            <color indexed="81"/>
            <rFont val="Calibri"/>
            <family val="2"/>
            <scheme val="minor"/>
          </rPr>
          <t>Lengte veld
in Y-richting</t>
        </r>
      </text>
    </comment>
    <comment ref="F12" authorId="1">
      <text>
        <r>
          <rPr>
            <sz val="10"/>
            <color indexed="81"/>
            <rFont val="Calibri"/>
            <family val="2"/>
            <scheme val="minor"/>
          </rPr>
          <t>De draaihoek is de hoek in het horizontale vlak ten opzichte van de X-as. Positief is tegen de klok in, negatief is met de klok mee.</t>
        </r>
      </text>
    </comment>
    <comment ref="G12" authorId="1">
      <text>
        <r>
          <rPr>
            <sz val="10"/>
            <color indexed="81"/>
            <rFont val="Calibri"/>
            <family val="2"/>
            <scheme val="minor"/>
          </rPr>
          <t>De kantelhoek is de hoek met de vertikaal. Naar beneden gericht is 0 graden, horizontaal gericht is 90 graden.</t>
        </r>
      </text>
    </comment>
    <comment ref="H12" authorId="1">
      <text>
        <r>
          <rPr>
            <sz val="10"/>
            <color indexed="81"/>
            <rFont val="Calibri"/>
            <family val="2"/>
            <scheme val="minor"/>
          </rPr>
          <t>Oppervlakte van het lichtgevende gedeelte.</t>
        </r>
      </text>
    </comment>
    <comment ref="I12" authorId="0">
      <text>
        <r>
          <rPr>
            <sz val="10"/>
            <color indexed="81"/>
            <rFont val="Calibri"/>
            <family val="2"/>
            <scheme val="minor"/>
          </rPr>
          <t>XY symmetrie
(blanco = geen, X, Y of XY).</t>
        </r>
      </text>
    </comment>
    <comment ref="O12" authorId="1">
      <text>
        <r>
          <rPr>
            <sz val="10"/>
            <color indexed="81"/>
            <rFont val="Calibri"/>
            <family val="2"/>
            <scheme val="minor"/>
          </rPr>
          <t>Ruimtelijke afstand (X,Y, Z) tot omwonende.</t>
        </r>
      </text>
    </comment>
    <comment ref="P12" authorId="1">
      <text>
        <r>
          <rPr>
            <sz val="10"/>
            <color indexed="81"/>
            <rFont val="Calibri"/>
            <family val="2"/>
            <scheme val="minor"/>
          </rPr>
          <t>Schijnbare oppervlakte vanuit positie omwonende.</t>
        </r>
      </text>
    </comment>
    <comment ref="Q12" authorId="0">
      <text>
        <r>
          <rPr>
            <sz val="10"/>
            <color indexed="81"/>
            <rFont val="Calibri"/>
            <family val="2"/>
            <scheme val="minor"/>
          </rPr>
          <t>Maximaal toegestane lichtsterkte.</t>
        </r>
      </text>
    </comment>
    <comment ref="S12" authorId="0">
      <text>
        <r>
          <rPr>
            <sz val="10"/>
            <color indexed="81"/>
            <rFont val="Calibri"/>
            <family val="2"/>
          </rPr>
          <t>Gemeten of berekende lichtsterkte.</t>
        </r>
      </text>
    </comment>
  </commentList>
</comments>
</file>

<file path=xl/sharedStrings.xml><?xml version="1.0" encoding="utf-8"?>
<sst xmlns="http://schemas.openxmlformats.org/spreadsheetml/2006/main" count="199" uniqueCount="147">
  <si>
    <t>Omwonende</t>
  </si>
  <si>
    <t>xR</t>
  </si>
  <si>
    <t>yR</t>
  </si>
  <si>
    <t>Richtpunt</t>
  </si>
  <si>
    <t>zR</t>
  </si>
  <si>
    <t>Vectoren</t>
  </si>
  <si>
    <t>Toelichting</t>
  </si>
  <si>
    <t>Het schijnbare oppervlak Ap  is cos(theta) maal het oppervlak A.</t>
  </si>
  <si>
    <t>cos(theta)</t>
  </si>
  <si>
    <t>theta</t>
  </si>
  <si>
    <t>Theta is de hoek tussen normaal op armatuur en armatuur-omwonende.</t>
  </si>
  <si>
    <t>Richting normaal armatuur</t>
  </si>
  <si>
    <t>Armatuur-Omwonende</t>
  </si>
  <si>
    <t>x1</t>
  </si>
  <si>
    <t>y1</t>
  </si>
  <si>
    <t>z2</t>
  </si>
  <si>
    <t>x2</t>
  </si>
  <si>
    <t>y2</t>
  </si>
  <si>
    <t>z1</t>
  </si>
  <si>
    <t>Richting normaal armatuur is vector (x1,y1,z1)</t>
  </si>
  <si>
    <t>Richting armatuur-&gt;omwonende is vector (x2,y2,z2)</t>
  </si>
  <si>
    <t>cos(theta) = (x1x2 + y1y2 + z1z2)/[wortel(x1^2+y1^2+z1^2).wortel(x2^2+y2^2+z2^2)]</t>
  </si>
  <si>
    <t>Formule</t>
  </si>
  <si>
    <t>Draaihoek</t>
  </si>
  <si>
    <t>XY</t>
  </si>
  <si>
    <t>X</t>
  </si>
  <si>
    <t>Disclaimer:</t>
  </si>
  <si>
    <t>Y</t>
  </si>
  <si>
    <t>Ingevuld</t>
  </si>
  <si>
    <t>X-waarde</t>
  </si>
  <si>
    <t>Y-waarde</t>
  </si>
  <si>
    <t>Z-waarde</t>
  </si>
  <si>
    <t>Nr.</t>
  </si>
  <si>
    <t>[graden]</t>
  </si>
  <si>
    <t>Kantelhoek</t>
  </si>
  <si>
    <t>Oppervlakte</t>
  </si>
  <si>
    <t>[m]</t>
  </si>
  <si>
    <t>Ap</t>
  </si>
  <si>
    <t>[m²]</t>
  </si>
  <si>
    <t>Grens</t>
  </si>
  <si>
    <t>[candela]</t>
  </si>
  <si>
    <t>Zone</t>
  </si>
  <si>
    <t>[E0-E4]</t>
  </si>
  <si>
    <t>E2</t>
  </si>
  <si>
    <t>E1</t>
  </si>
  <si>
    <t>E3</t>
  </si>
  <si>
    <t>E4</t>
  </si>
  <si>
    <t>Afstand</t>
  </si>
  <si>
    <t>omwonende</t>
  </si>
  <si>
    <t>armatuur</t>
  </si>
  <si>
    <t>Horizontale</t>
  </si>
  <si>
    <t>afstand</t>
  </si>
  <si>
    <t>A-R dh (m)</t>
  </si>
  <si>
    <t>Xmin</t>
  </si>
  <si>
    <t>Xmax</t>
  </si>
  <si>
    <t>Ymin</t>
  </si>
  <si>
    <t>Ymax</t>
  </si>
  <si>
    <t>Xdelta</t>
  </si>
  <si>
    <t>Ydelta</t>
  </si>
  <si>
    <t>in te vullen</t>
  </si>
  <si>
    <t>Tabel 7.2</t>
  </si>
  <si>
    <t>&lt;=0.002</t>
  </si>
  <si>
    <t>&lt;=0.01</t>
  </si>
  <si>
    <t>&lt;=0.03</t>
  </si>
  <si>
    <t>&lt;=0.13</t>
  </si>
  <si>
    <t>&lt;=0.5</t>
  </si>
  <si>
    <t>&gt; 0.5</t>
  </si>
  <si>
    <t>Symmetrie</t>
  </si>
  <si>
    <t>symmetrie</t>
  </si>
  <si>
    <t>Ylen</t>
  </si>
  <si>
    <t>Xlen</t>
  </si>
  <si>
    <t>Lichtsterkte</t>
  </si>
  <si>
    <t>Jansen, Kerkstraat 123</t>
  </si>
  <si>
    <t>Z</t>
  </si>
  <si>
    <t>Draaih.</t>
  </si>
  <si>
    <t>Kantelh.</t>
  </si>
  <si>
    <t>Opp.</t>
  </si>
  <si>
    <t>Correctie</t>
  </si>
  <si>
    <t>Tabel 7.2 : factor * afstand</t>
  </si>
  <si>
    <t>Tabel 7.2: met ondergrens en bovengrens</t>
  </si>
  <si>
    <t>Maxlen</t>
  </si>
  <si>
    <t>UpLeft</t>
  </si>
  <si>
    <t>LowLeft</t>
  </si>
  <si>
    <t>UpRight</t>
  </si>
  <si>
    <t>LowRight</t>
  </si>
  <si>
    <t>Berekening schaal grafiek - maak X-as en Y-as dezelfde lengte</t>
  </si>
  <si>
    <t>Waarden</t>
  </si>
  <si>
    <t>Naam en/of adres</t>
  </si>
  <si>
    <t>Correctie komma/punt</t>
  </si>
  <si>
    <t>De auteur kan dit hulpmiddel naar eigen inzicht en op ieder moment wijzigen of beëindigen.</t>
  </si>
  <si>
    <t>Er kunnen op geen enkele wijze rechten worden ontleend aan het gebruik van dit hulpmiddel.</t>
  </si>
  <si>
    <t>Uitleg</t>
  </si>
  <si>
    <t>X-richtpunt</t>
  </si>
  <si>
    <t>Y-richtpunt</t>
  </si>
  <si>
    <t>Z-richtpunt</t>
  </si>
  <si>
    <t>[m2]</t>
  </si>
  <si>
    <t>Feedback</t>
  </si>
  <si>
    <t>info@sportlicht.nl</t>
  </si>
  <si>
    <t>Stuur een email naar:</t>
  </si>
  <si>
    <t>Berekende gegevens</t>
  </si>
  <si>
    <t>Vragen? Problemen? Suggesties? Verzoeken?</t>
  </si>
  <si>
    <t>Ref.</t>
  </si>
  <si>
    <t>AA</t>
  </si>
  <si>
    <t>- gegevens omwonende</t>
  </si>
  <si>
    <t>- gegevens armaturen</t>
  </si>
  <si>
    <t>In de invoervelden is zowel een decimale punt (.) als een decimale komma (,) toegestaan.</t>
  </si>
  <si>
    <t>Knippen en plakken van gegevens uit ontwerpsoftware is hierdoor eenvoudiger.</t>
  </si>
  <si>
    <t>worden gegeven over de juiste werking.</t>
  </si>
  <si>
    <t>Dit hulpmiddel is naar beste eer en geweten ontwikkeld en getest, maar er kan geen garantie</t>
  </si>
  <si>
    <t>ook, door het gebruik van dit hulpmiddel.</t>
  </si>
  <si>
    <t>De auteur kan niet aansprakelijk gesteld worden voor eventuele schade, van welke aard dan</t>
  </si>
  <si>
    <t>Dit spreadsheet heeft twee doelstellingen:</t>
  </si>
  <si>
    <t>Dit spreadsheet berekent:</t>
  </si>
  <si>
    <t>Vul hiertoe in:</t>
  </si>
  <si>
    <t>De gebruiker is verantwoordelijk voor de juiste invoer alsmede het gebruik van de uitkomsten.</t>
  </si>
  <si>
    <t>1) Het berekenen van de schijnbare oppervlakten van armaturen en de lichtsterkte grenswaarden.</t>
  </si>
  <si>
    <t>2) Een standaard model dat gebruikt kan worden bij een vergunningaanvraag waarbij</t>
  </si>
  <si>
    <t xml:space="preserve">    aangetoond moet worden dat aan de NSVV Lichthinder Richtlijnen voldaan wordt.</t>
  </si>
  <si>
    <t>www.sportlicht.nl</t>
  </si>
  <si>
    <t>Twee versies</t>
  </si>
  <si>
    <t>Van dit spreadsheet bestaan twee versies:</t>
  </si>
  <si>
    <t>Beide versies zijn te downloaden van:</t>
  </si>
  <si>
    <t>Indien groter dan 90 graden dan is lichtgevende deel armatuur onzichtbaar.</t>
  </si>
  <si>
    <t>1) Voor het geval dat complete armaturen in de ontwerpsoftware ingevoerd zijn.</t>
  </si>
  <si>
    <t>Gehele armatuur</t>
  </si>
  <si>
    <t>Modules (van één armatuur)</t>
  </si>
  <si>
    <t>berekend</t>
  </si>
  <si>
    <t>2) Voor het geval dat de modules waaruit armaturen bestaan in de ontwerpsoftware ingevoerd zijn.</t>
  </si>
  <si>
    <t>- de schijnbare oppervlakte van armaturen (kolom P)</t>
  </si>
  <si>
    <t>- de lichtsterkte grenswaarden van tabel 7.2 van NSVV Richtlijn Lichthinder 2020 (kolom Q)</t>
  </si>
  <si>
    <t>- eventueel de berekende of gemeten lichtsterkte in kolom S (in geval van een vergunningaanvraag)</t>
  </si>
  <si>
    <t>X-symmetrie modules</t>
  </si>
  <si>
    <t>Y-symmetrie modules</t>
  </si>
  <si>
    <t>XY-symmetrie modules</t>
  </si>
  <si>
    <t>Midden-X</t>
  </si>
  <si>
    <t>Midden-Y</t>
  </si>
  <si>
    <t>Lengte-X</t>
  </si>
  <si>
    <t>Lengte-Y</t>
  </si>
  <si>
    <t>Veld</t>
  </si>
  <si>
    <t>Komma/punt</t>
  </si>
  <si>
    <t>LoRight</t>
  </si>
  <si>
    <t>LoLeft</t>
  </si>
  <si>
    <t>Mid-X</t>
  </si>
  <si>
    <t>Mid-Y</t>
  </si>
  <si>
    <t>Len-X</t>
  </si>
  <si>
    <t>Len-Y</t>
  </si>
  <si>
    <t>Berekening schijnbare oppervlaktes en grenswaarden - modules (versie 1.1.1)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</si>
</sst>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0"/>
    <numFmt numFmtId="166" formatCode="0.000"/>
  </numFmts>
  <fonts count="16">
    <font>
      <sz val="11"/>
      <color theme="1"/>
      <name val="Calibri"/>
      <family val="2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</font>
    <font>
      <sz val="11"/>
      <color theme="1" tint="0.249977111117893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0"/>
      <color indexed="81"/>
      <name val="Calibri"/>
      <family val="2"/>
      <scheme val="minor"/>
    </font>
    <font>
      <sz val="10"/>
      <color indexed="81"/>
      <name val="Calibri"/>
      <family val="2"/>
    </font>
    <font>
      <sz val="11"/>
      <color rgb="FFFF0000"/>
      <name val="Calibri"/>
      <family val="2"/>
    </font>
    <font>
      <b/>
      <u/>
      <sz val="16"/>
      <color theme="3"/>
      <name val="Calibri"/>
      <family val="2"/>
      <scheme val="minor"/>
    </font>
    <font>
      <b/>
      <u/>
      <sz val="11"/>
      <color theme="1"/>
      <name val="Calibri"/>
      <family val="2"/>
    </font>
    <font>
      <b/>
      <sz val="14"/>
      <color rgb="FF0070C0"/>
      <name val="Calibri"/>
      <family val="2"/>
      <scheme val="minor"/>
    </font>
    <font>
      <b/>
      <sz val="14"/>
      <color rgb="FFF4740A"/>
      <name val="Calibri"/>
      <family val="2"/>
      <scheme val="minor"/>
    </font>
    <font>
      <b/>
      <sz val="14"/>
      <color rgb="FFF5770F"/>
      <name val="Calibri"/>
      <family val="2"/>
      <scheme val="minor"/>
    </font>
    <font>
      <b/>
      <sz val="11"/>
      <color rgb="FF00B050"/>
      <name val="Calibri"/>
      <family val="2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/>
      <right style="thin">
        <color theme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/>
      <diagonal/>
    </border>
    <border>
      <left style="thin">
        <color indexed="64"/>
      </left>
      <right style="thin">
        <color theme="1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</cellStyleXfs>
  <cellXfs count="120">
    <xf numFmtId="0" fontId="0" fillId="0" borderId="0" xfId="0"/>
    <xf numFmtId="0" fontId="0" fillId="2" borderId="4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Fill="1" applyProtection="1"/>
    <xf numFmtId="0" fontId="3" fillId="0" borderId="0" xfId="0" applyFont="1" applyAlignment="1" applyProtection="1">
      <alignment horizontal="left"/>
    </xf>
    <xf numFmtId="0" fontId="0" fillId="4" borderId="12" xfId="0" applyFill="1" applyBorder="1" applyProtection="1"/>
    <xf numFmtId="0" fontId="0" fillId="4" borderId="13" xfId="0" applyFill="1" applyBorder="1" applyProtection="1"/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0" fillId="4" borderId="0" xfId="0" applyFill="1" applyBorder="1" applyProtection="1"/>
    <xf numFmtId="0" fontId="0" fillId="4" borderId="15" xfId="0" applyFill="1" applyBorder="1" applyProtection="1"/>
    <xf numFmtId="0" fontId="2" fillId="0" borderId="7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/>
    </xf>
    <xf numFmtId="0" fontId="0" fillId="2" borderId="2" xfId="0" applyFont="1" applyFill="1" applyBorder="1" applyAlignment="1" applyProtection="1">
      <alignment horizontal="center" vertical="center"/>
    </xf>
    <xf numFmtId="0" fontId="0" fillId="4" borderId="17" xfId="0" applyFill="1" applyBorder="1" applyProtection="1"/>
    <xf numFmtId="0" fontId="0" fillId="4" borderId="18" xfId="0" applyFill="1" applyBorder="1" applyProtection="1"/>
    <xf numFmtId="0" fontId="2" fillId="0" borderId="5" xfId="0" applyFont="1" applyBorder="1" applyAlignment="1" applyProtection="1">
      <alignment horizontal="center" wrapText="1"/>
    </xf>
    <xf numFmtId="0" fontId="2" fillId="0" borderId="6" xfId="0" applyFont="1" applyBorder="1" applyAlignment="1" applyProtection="1">
      <alignment horizontal="center" wrapText="1"/>
    </xf>
    <xf numFmtId="0" fontId="2" fillId="0" borderId="5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wrapText="1"/>
    </xf>
    <xf numFmtId="0" fontId="0" fillId="0" borderId="0" xfId="0" applyAlignment="1" applyProtection="1">
      <alignment horizontal="center" wrapText="1"/>
    </xf>
    <xf numFmtId="0" fontId="0" fillId="0" borderId="0" xfId="0" applyAlignment="1" applyProtection="1">
      <alignment wrapText="1"/>
    </xf>
    <xf numFmtId="0" fontId="2" fillId="0" borderId="2" xfId="0" applyFont="1" applyBorder="1" applyAlignment="1" applyProtection="1">
      <alignment horizontal="center" wrapText="1"/>
    </xf>
    <xf numFmtId="0" fontId="2" fillId="0" borderId="3" xfId="0" applyFont="1" applyBorder="1" applyAlignment="1" applyProtection="1">
      <alignment horizontal="center" wrapText="1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165" fontId="0" fillId="3" borderId="19" xfId="0" applyNumberFormat="1" applyFont="1" applyFill="1" applyBorder="1" applyAlignment="1" applyProtection="1">
      <alignment horizontal="center" vertical="center"/>
    </xf>
    <xf numFmtId="1" fontId="2" fillId="3" borderId="4" xfId="0" applyNumberFormat="1" applyFont="1" applyFill="1" applyBorder="1" applyAlignment="1" applyProtection="1">
      <alignment horizontal="center" vertical="center"/>
    </xf>
    <xf numFmtId="1" fontId="2" fillId="0" borderId="0" xfId="0" applyNumberFormat="1" applyFont="1" applyFill="1" applyBorder="1" applyAlignment="1" applyProtection="1">
      <alignment horizontal="center" vertical="center"/>
    </xf>
    <xf numFmtId="2" fontId="0" fillId="0" borderId="0" xfId="0" applyNumberFormat="1" applyAlignment="1" applyProtection="1">
      <alignment horizontal="center"/>
    </xf>
    <xf numFmtId="166" fontId="0" fillId="0" borderId="0" xfId="0" applyNumberFormat="1" applyAlignment="1" applyProtection="1">
      <alignment horizontal="center"/>
    </xf>
    <xf numFmtId="1" fontId="0" fillId="0" borderId="0" xfId="0" applyNumberFormat="1" applyAlignment="1" applyProtection="1">
      <alignment horizontal="center"/>
    </xf>
    <xf numFmtId="165" fontId="0" fillId="0" borderId="0" xfId="0" applyNumberFormat="1" applyProtection="1"/>
    <xf numFmtId="0" fontId="2" fillId="0" borderId="0" xfId="0" applyFont="1" applyProtection="1"/>
    <xf numFmtId="2" fontId="0" fillId="2" borderId="4" xfId="0" applyNumberFormat="1" applyFill="1" applyBorder="1" applyAlignment="1" applyProtection="1">
      <alignment horizontal="center" vertical="center"/>
    </xf>
    <xf numFmtId="164" fontId="0" fillId="2" borderId="4" xfId="0" applyNumberFormat="1" applyFill="1" applyBorder="1" applyAlignment="1" applyProtection="1">
      <alignment horizontal="center" vertical="center"/>
    </xf>
    <xf numFmtId="165" fontId="0" fillId="2" borderId="4" xfId="0" applyNumberFormat="1" applyFill="1" applyBorder="1" applyAlignment="1" applyProtection="1">
      <alignment horizontal="center" vertical="center"/>
    </xf>
    <xf numFmtId="2" fontId="0" fillId="3" borderId="1" xfId="0" applyNumberFormat="1" applyFont="1" applyFill="1" applyBorder="1" applyAlignment="1" applyProtection="1">
      <alignment horizontal="center" vertical="center"/>
    </xf>
    <xf numFmtId="2" fontId="0" fillId="3" borderId="1" xfId="0" applyNumberFormat="1" applyFill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/>
    </xf>
    <xf numFmtId="0" fontId="4" fillId="0" borderId="0" xfId="0" applyFont="1" applyProtection="1"/>
    <xf numFmtId="2" fontId="5" fillId="5" borderId="3" xfId="0" applyNumberFormat="1" applyFont="1" applyFill="1" applyBorder="1" applyAlignment="1" applyProtection="1">
      <alignment horizontal="center" vertical="center"/>
      <protection locked="0"/>
    </xf>
    <xf numFmtId="2" fontId="5" fillId="5" borderId="8" xfId="0" applyNumberFormat="1" applyFont="1" applyFill="1" applyBorder="1" applyAlignment="1" applyProtection="1">
      <alignment horizontal="center" vertical="center"/>
      <protection locked="0"/>
    </xf>
    <xf numFmtId="0" fontId="5" fillId="5" borderId="4" xfId="0" applyFont="1" applyFill="1" applyBorder="1" applyAlignment="1" applyProtection="1">
      <alignment horizontal="center" vertical="center"/>
      <protection locked="0"/>
    </xf>
    <xf numFmtId="2" fontId="0" fillId="5" borderId="3" xfId="0" applyNumberFormat="1" applyFont="1" applyFill="1" applyBorder="1" applyAlignment="1" applyProtection="1">
      <alignment horizontal="center" vertical="center"/>
      <protection locked="0"/>
    </xf>
    <xf numFmtId="164" fontId="0" fillId="5" borderId="3" xfId="0" applyNumberFormat="1" applyFill="1" applyBorder="1" applyAlignment="1" applyProtection="1">
      <alignment horizontal="center" vertical="center"/>
      <protection locked="0"/>
    </xf>
    <xf numFmtId="164" fontId="0" fillId="5" borderId="3" xfId="0" applyNumberFormat="1" applyFont="1" applyFill="1" applyBorder="1" applyAlignment="1" applyProtection="1">
      <alignment horizontal="center" vertical="center"/>
      <protection locked="0"/>
    </xf>
    <xf numFmtId="165" fontId="0" fillId="5" borderId="3" xfId="0" applyNumberFormat="1" applyFon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wrapText="1"/>
    </xf>
    <xf numFmtId="0" fontId="2" fillId="0" borderId="10" xfId="0" applyFont="1" applyBorder="1" applyAlignment="1" applyProtection="1">
      <alignment horizontal="center" wrapText="1"/>
    </xf>
    <xf numFmtId="0" fontId="0" fillId="2" borderId="20" xfId="0" applyFont="1" applyFill="1" applyBorder="1" applyAlignment="1" applyProtection="1">
      <alignment horizontal="center" vertical="center"/>
    </xf>
    <xf numFmtId="0" fontId="0" fillId="2" borderId="21" xfId="0" applyFont="1" applyFill="1" applyBorder="1" applyAlignment="1" applyProtection="1">
      <alignment horizontal="center" vertical="center"/>
    </xf>
    <xf numFmtId="0" fontId="2" fillId="0" borderId="22" xfId="0" applyFont="1" applyBorder="1" applyAlignment="1" applyProtection="1">
      <alignment horizontal="center" vertical="center" wrapText="1"/>
    </xf>
    <xf numFmtId="0" fontId="2" fillId="0" borderId="23" xfId="0" applyFont="1" applyBorder="1" applyAlignment="1" applyProtection="1">
      <alignment horizontal="center" vertical="center" wrapText="1"/>
    </xf>
    <xf numFmtId="0" fontId="2" fillId="0" borderId="24" xfId="0" applyFont="1" applyBorder="1" applyProtection="1"/>
    <xf numFmtId="0" fontId="0" fillId="0" borderId="25" xfId="0" applyBorder="1" applyProtection="1"/>
    <xf numFmtId="0" fontId="2" fillId="0" borderId="0" xfId="0" applyFont="1" applyBorder="1" applyAlignment="1" applyProtection="1">
      <alignment horizontal="center" vertical="center" wrapText="1"/>
    </xf>
    <xf numFmtId="0" fontId="2" fillId="0" borderId="26" xfId="0" applyFont="1" applyBorder="1" applyAlignment="1" applyProtection="1">
      <alignment horizontal="center" vertical="center"/>
    </xf>
    <xf numFmtId="0" fontId="8" fillId="0" borderId="0" xfId="0" applyFont="1" applyAlignment="1" applyProtection="1">
      <alignment horizontal="left"/>
    </xf>
    <xf numFmtId="0" fontId="0" fillId="0" borderId="0" xfId="0" applyAlignment="1">
      <alignment horizontal="center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center"/>
    </xf>
    <xf numFmtId="0" fontId="0" fillId="0" borderId="0" xfId="0" applyAlignment="1" applyProtection="1">
      <alignment horizontal="center"/>
    </xf>
    <xf numFmtId="2" fontId="5" fillId="0" borderId="0" xfId="0" applyNumberFormat="1" applyFont="1" applyAlignment="1" applyProtection="1">
      <alignment horizontal="center"/>
    </xf>
    <xf numFmtId="0" fontId="0" fillId="0" borderId="10" xfId="0" applyFill="1" applyBorder="1" applyAlignment="1" applyProtection="1">
      <alignment horizontal="center"/>
    </xf>
    <xf numFmtId="0" fontId="0" fillId="0" borderId="26" xfId="0" applyFill="1" applyBorder="1" applyAlignment="1" applyProtection="1">
      <alignment horizontal="center"/>
    </xf>
    <xf numFmtId="0" fontId="0" fillId="0" borderId="9" xfId="0" applyFill="1" applyBorder="1" applyAlignment="1" applyProtection="1">
      <alignment horizontal="center"/>
    </xf>
    <xf numFmtId="0" fontId="0" fillId="4" borderId="0" xfId="0" applyFill="1" applyProtection="1"/>
    <xf numFmtId="0" fontId="0" fillId="4" borderId="14" xfId="0" applyFill="1" applyBorder="1" applyAlignment="1" applyProtection="1">
      <alignment vertical="center"/>
    </xf>
    <xf numFmtId="0" fontId="9" fillId="0" borderId="0" xfId="1" applyFont="1" applyAlignment="1" applyProtection="1">
      <alignment horizontal="left"/>
    </xf>
    <xf numFmtId="0" fontId="10" fillId="4" borderId="11" xfId="0" applyFont="1" applyFill="1" applyBorder="1" applyAlignment="1" applyProtection="1">
      <alignment vertical="center"/>
    </xf>
    <xf numFmtId="0" fontId="0" fillId="5" borderId="4" xfId="0" applyFill="1" applyBorder="1" applyAlignment="1" applyProtection="1">
      <alignment horizontal="center" vertical="center"/>
    </xf>
    <xf numFmtId="0" fontId="12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/>
    </xf>
    <xf numFmtId="49" fontId="0" fillId="0" borderId="0" xfId="0" applyNumberFormat="1"/>
    <xf numFmtId="0" fontId="10" fillId="0" borderId="0" xfId="0" applyFont="1"/>
    <xf numFmtId="0" fontId="15" fillId="0" borderId="0" xfId="2" applyAlignment="1" applyProtection="1"/>
    <xf numFmtId="2" fontId="5" fillId="5" borderId="28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Protection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center"/>
    </xf>
    <xf numFmtId="49" fontId="10" fillId="0" borderId="0" xfId="0" applyNumberFormat="1" applyFont="1"/>
    <xf numFmtId="0" fontId="2" fillId="0" borderId="26" xfId="0" applyFont="1" applyBorder="1" applyAlignment="1" applyProtection="1">
      <alignment horizontal="center" wrapText="1"/>
    </xf>
    <xf numFmtId="1" fontId="2" fillId="3" borderId="9" xfId="0" applyNumberFormat="1" applyFont="1" applyFill="1" applyBorder="1" applyAlignment="1" applyProtection="1">
      <alignment horizontal="center" vertical="center"/>
    </xf>
    <xf numFmtId="165" fontId="0" fillId="3" borderId="29" xfId="0" applyNumberFormat="1" applyFont="1" applyFill="1" applyBorder="1" applyAlignment="1" applyProtection="1">
      <alignment horizontal="center" vertical="center"/>
    </xf>
    <xf numFmtId="2" fontId="0" fillId="3" borderId="5" xfId="0" applyNumberFormat="1" applyFont="1" applyFill="1" applyBorder="1" applyAlignment="1" applyProtection="1">
      <alignment horizontal="center" vertical="center"/>
    </xf>
    <xf numFmtId="2" fontId="0" fillId="3" borderId="4" xfId="0" applyNumberFormat="1" applyFill="1" applyBorder="1" applyAlignment="1" applyProtection="1">
      <alignment horizontal="center"/>
    </xf>
    <xf numFmtId="1" fontId="5" fillId="5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30" xfId="0" applyFont="1" applyFill="1" applyBorder="1" applyAlignment="1" applyProtection="1">
      <alignment horizontal="center" vertical="center"/>
    </xf>
    <xf numFmtId="2" fontId="0" fillId="0" borderId="0" xfId="0" applyNumberFormat="1" applyFill="1" applyBorder="1" applyAlignment="1" applyProtection="1">
      <alignment horizontal="center"/>
    </xf>
    <xf numFmtId="165" fontId="0" fillId="0" borderId="0" xfId="0" applyNumberFormat="1" applyFont="1" applyFill="1" applyBorder="1" applyAlignment="1" applyProtection="1">
      <alignment horizontal="center" vertical="center"/>
    </xf>
    <xf numFmtId="1" fontId="2" fillId="0" borderId="11" xfId="0" applyNumberFormat="1" applyFont="1" applyFill="1" applyBorder="1" applyAlignment="1" applyProtection="1">
      <alignment horizontal="center" vertical="center"/>
    </xf>
    <xf numFmtId="1" fontId="2" fillId="0" borderId="14" xfId="0" applyNumberFormat="1" applyFont="1" applyFill="1" applyBorder="1" applyAlignment="1" applyProtection="1">
      <alignment horizontal="center" vertical="center"/>
    </xf>
    <xf numFmtId="1" fontId="2" fillId="0" borderId="16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2" fontId="0" fillId="3" borderId="2" xfId="0" applyNumberFormat="1" applyFont="1" applyFill="1" applyBorder="1" applyAlignment="1" applyProtection="1">
      <alignment horizontal="center" vertical="center"/>
    </xf>
    <xf numFmtId="0" fontId="2" fillId="0" borderId="31" xfId="0" applyFont="1" applyBorder="1" applyAlignment="1" applyProtection="1">
      <alignment horizontal="center" vertical="center" wrapText="1"/>
    </xf>
    <xf numFmtId="0" fontId="2" fillId="0" borderId="32" xfId="0" applyFont="1" applyBorder="1" applyAlignment="1" applyProtection="1">
      <alignment horizontal="center" vertical="center" wrapText="1"/>
    </xf>
    <xf numFmtId="0" fontId="13" fillId="0" borderId="0" xfId="0" applyFont="1" applyAlignment="1" applyProtection="1">
      <alignment horizontal="center" vertical="center"/>
    </xf>
    <xf numFmtId="1" fontId="14" fillId="0" borderId="0" xfId="0" applyNumberFormat="1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1" fontId="14" fillId="5" borderId="4" xfId="0" applyNumberFormat="1" applyFont="1" applyFill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left"/>
    </xf>
    <xf numFmtId="0" fontId="0" fillId="5" borderId="4" xfId="0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left"/>
      <protection locked="0"/>
    </xf>
    <xf numFmtId="0" fontId="5" fillId="5" borderId="27" xfId="0" applyFont="1" applyFill="1" applyBorder="1" applyAlignment="1" applyProtection="1">
      <alignment horizontal="left"/>
      <protection locked="0"/>
    </xf>
    <xf numFmtId="0" fontId="5" fillId="5" borderId="25" xfId="0" applyFont="1" applyFill="1" applyBorder="1" applyAlignment="1" applyProtection="1">
      <alignment horizontal="left"/>
      <protection locked="0"/>
    </xf>
    <xf numFmtId="0" fontId="0" fillId="0" borderId="0" xfId="0" applyAlignment="1">
      <alignment horizontal="center"/>
    </xf>
    <xf numFmtId="0" fontId="11" fillId="0" borderId="8" xfId="0" applyFont="1" applyBorder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/>
    </xf>
  </cellXfs>
  <cellStyles count="3">
    <cellStyle name="Hyperlink" xfId="2" builtinId="8"/>
    <cellStyle name="Normal" xfId="0" builtinId="0" customBuiltin="1"/>
    <cellStyle name="Title" xfId="1" builtinId="15"/>
  </cellStyles>
  <dxfs count="8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9" defaultPivotStyle="PivotStyleLight16"/>
  <colors>
    <mruColors>
      <color rgb="FFF5770F"/>
      <color rgb="FFF4740A"/>
      <color rgb="FF0B192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6.6312593278781834E-2"/>
          <c:y val="2.2656322371468272E-2"/>
          <c:w val="0.91211113685182243"/>
          <c:h val="0.92254398170107721"/>
        </c:manualLayout>
      </c:layout>
      <c:scatterChart>
        <c:scatterStyle val="lineMarker"/>
        <c:ser>
          <c:idx val="37"/>
          <c:order val="0"/>
          <c:tx>
            <c:v>veld</c:v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Lichthinder!$AM$4:$AQ$4</c:f>
              <c:numCache>
                <c:formatCode>General</c:formatCode>
                <c:ptCount val="5"/>
                <c:pt idx="0">
                  <c:v>-32</c:v>
                </c:pt>
                <c:pt idx="1">
                  <c:v>32</c:v>
                </c:pt>
                <c:pt idx="2">
                  <c:v>32</c:v>
                </c:pt>
                <c:pt idx="3">
                  <c:v>-32</c:v>
                </c:pt>
                <c:pt idx="4">
                  <c:v>-32</c:v>
                </c:pt>
              </c:numCache>
            </c:numRef>
          </c:xVal>
          <c:yVal>
            <c:numRef>
              <c:f>Lichthinder!$AM$5:$AQ$5</c:f>
              <c:numCache>
                <c:formatCode>General</c:formatCode>
                <c:ptCount val="5"/>
                <c:pt idx="0">
                  <c:v>50</c:v>
                </c:pt>
                <c:pt idx="1">
                  <c:v>50</c:v>
                </c:pt>
                <c:pt idx="2">
                  <c:v>-50</c:v>
                </c:pt>
                <c:pt idx="3">
                  <c:v>-50</c:v>
                </c:pt>
                <c:pt idx="4">
                  <c:v>50</c:v>
                </c:pt>
              </c:numCache>
            </c:numRef>
          </c:yVal>
        </c:ser>
        <c:ser>
          <c:idx val="7"/>
          <c:order val="1"/>
          <c:tx>
            <c:strRef>
              <c:f>Lichthinder!$B$5</c:f>
              <c:strCache>
                <c:ptCount val="1"/>
                <c:pt idx="0">
                  <c:v>Omwonende</c:v>
                </c:pt>
              </c:strCache>
            </c:strRef>
          </c:tx>
          <c:marker>
            <c:symbol val="square"/>
            <c:size val="10"/>
          </c:marker>
          <c:xVal>
            <c:numRef>
              <c:f>Lichthinder!$W$9</c:f>
              <c:numCache>
                <c:formatCode>0.00</c:formatCode>
                <c:ptCount val="1"/>
                <c:pt idx="0">
                  <c:v>100</c:v>
                </c:pt>
              </c:numCache>
            </c:numRef>
          </c:xVal>
          <c:yVal>
            <c:numRef>
              <c:f>Lichthinder!$X$9</c:f>
              <c:numCache>
                <c:formatCode>0.00</c:formatCode>
                <c:ptCount val="1"/>
                <c:pt idx="0">
                  <c:v>-70</c:v>
                </c:pt>
              </c:numCache>
            </c:numRef>
          </c:yVal>
        </c:ser>
        <c:ser>
          <c:idx val="3"/>
          <c:order val="2"/>
          <c:tx>
            <c:strRef>
              <c:f>Lichthinder!$B$14</c:f>
              <c:strCache>
                <c:ptCount val="1"/>
                <c:pt idx="0">
                  <c:v>1</c:v>
                </c:pt>
              </c:strCache>
            </c:strRef>
          </c:tx>
          <c:spPr>
            <a:ln w="15875">
              <a:solidFill>
                <a:schemeClr val="tx1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(Lichthinder!$W$14,Lichthinder!$K$14)</c:f>
              <c:numCache>
                <c:formatCode>0.00</c:formatCode>
                <c:ptCount val="2"/>
                <c:pt idx="0">
                  <c:v>-35.15</c:v>
                </c:pt>
                <c:pt idx="1">
                  <c:v>-9.1180594535333803</c:v>
                </c:pt>
              </c:numCache>
            </c:numRef>
          </c:xVal>
          <c:yVal>
            <c:numRef>
              <c:f>(Lichthinder!$X$14,Lichthinder!$L$14)</c:f>
              <c:numCache>
                <c:formatCode>0.00</c:formatCode>
                <c:ptCount val="2"/>
                <c:pt idx="0">
                  <c:v>35.1</c:v>
                </c:pt>
                <c:pt idx="1">
                  <c:v>22.403374251879235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0-8E1B-437E-BF50-98AD01E06D10}"/>
            </c:ext>
          </c:extLst>
        </c:ser>
        <c:ser>
          <c:idx val="4"/>
          <c:order val="3"/>
          <c:tx>
            <c:strRef>
              <c:f>Lichthinder!$B$15</c:f>
              <c:strCache>
                <c:ptCount val="1"/>
                <c:pt idx="0">
                  <c:v>2</c:v>
                </c:pt>
              </c:strCache>
            </c:strRef>
          </c:tx>
          <c:spPr>
            <a:ln w="15875">
              <a:solidFill>
                <a:schemeClr val="tx1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(Lichthinder!$W$15,Lichthinder!$K$15)</c:f>
              <c:numCache>
                <c:formatCode>0.00</c:formatCode>
                <c:ptCount val="2"/>
                <c:pt idx="0">
                  <c:v>-35.049999999999997</c:v>
                </c:pt>
                <c:pt idx="1">
                  <c:v>-8.5623670576734021</c:v>
                </c:pt>
              </c:numCache>
            </c:numRef>
          </c:xVal>
          <c:yVal>
            <c:numRef>
              <c:f>(Lichthinder!$X$15,Lichthinder!$L$15)</c:f>
              <c:numCache>
                <c:formatCode>0.00</c:formatCode>
                <c:ptCount val="2"/>
                <c:pt idx="0">
                  <c:v>35.1</c:v>
                </c:pt>
                <c:pt idx="1">
                  <c:v>23.856666874978448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1-8E1B-437E-BF50-98AD01E06D10}"/>
            </c:ext>
          </c:extLst>
        </c:ser>
        <c:ser>
          <c:idx val="5"/>
          <c:order val="4"/>
          <c:tx>
            <c:strRef>
              <c:f>Lichthinder!$B$16</c:f>
              <c:strCache>
                <c:ptCount val="1"/>
                <c:pt idx="0">
                  <c:v>3</c:v>
                </c:pt>
              </c:strCache>
            </c:strRef>
          </c:tx>
          <c:spPr>
            <a:ln w="15875">
              <a:solidFill>
                <a:schemeClr val="tx1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(Lichthinder!$W$16,Lichthinder!$K$16)</c:f>
              <c:numCache>
                <c:formatCode>0.00</c:formatCode>
                <c:ptCount val="2"/>
                <c:pt idx="0">
                  <c:v>-34.950000000000003</c:v>
                </c:pt>
                <c:pt idx="1">
                  <c:v>-8.0869673257187742</c:v>
                </c:pt>
              </c:numCache>
            </c:numRef>
          </c:xVal>
          <c:yVal>
            <c:numRef>
              <c:f>(Lichthinder!$X$16,Lichthinder!$L$16)</c:f>
              <c:numCache>
                <c:formatCode>0.00</c:formatCode>
                <c:ptCount val="2"/>
                <c:pt idx="0">
                  <c:v>35.1</c:v>
                </c:pt>
                <c:pt idx="1">
                  <c:v>25.322655704441217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2-8E1B-437E-BF50-98AD01E06D10}"/>
            </c:ext>
          </c:extLst>
        </c:ser>
        <c:ser>
          <c:idx val="6"/>
          <c:order val="5"/>
          <c:tx>
            <c:strRef>
              <c:f>Lichthinder!$B$17</c:f>
              <c:strCache>
                <c:ptCount val="1"/>
                <c:pt idx="0">
                  <c:v>4</c:v>
                </c:pt>
              </c:strCache>
            </c:strRef>
          </c:tx>
          <c:spPr>
            <a:ln w="15875">
              <a:solidFill>
                <a:schemeClr val="tx1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(Lichthinder!$W$17,Lichthinder!$K$17)</c:f>
              <c:numCache>
                <c:formatCode>0.00</c:formatCode>
                <c:ptCount val="2"/>
                <c:pt idx="0">
                  <c:v>-34.85</c:v>
                </c:pt>
                <c:pt idx="1">
                  <c:v>-7.6919302815086859</c:v>
                </c:pt>
              </c:numCache>
            </c:numRef>
          </c:xVal>
          <c:yVal>
            <c:numRef>
              <c:f>(Lichthinder!$X$17,Lichthinder!$L$17)</c:f>
              <c:numCache>
                <c:formatCode>0.00</c:formatCode>
                <c:ptCount val="2"/>
                <c:pt idx="0">
                  <c:v>35.1</c:v>
                </c:pt>
                <c:pt idx="1">
                  <c:v>26.79694483786384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4-8E1B-437E-BF50-98AD01E06D10}"/>
            </c:ext>
          </c:extLst>
        </c:ser>
        <c:ser>
          <c:idx val="8"/>
          <c:order val="6"/>
          <c:tx>
            <c:strRef>
              <c:f>Lichthinder!$B$18</c:f>
              <c:strCache>
                <c:ptCount val="1"/>
                <c:pt idx="0">
                  <c:v>5</c:v>
                </c:pt>
              </c:strCache>
            </c:strRef>
          </c:tx>
          <c:spPr>
            <a:ln w="15875">
              <a:solidFill>
                <a:prstClr val="black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(Lichthinder!$W$18,Lichthinder!$K$18)</c:f>
              <c:numCache>
                <c:formatCode>0.00</c:formatCode>
                <c:ptCount val="2"/>
                <c:pt idx="0">
                  <c:v>-35.15</c:v>
                </c:pt>
                <c:pt idx="1">
                  <c:v>-7.0471428850565161</c:v>
                </c:pt>
              </c:numCache>
            </c:numRef>
          </c:xVal>
          <c:yVal>
            <c:numRef>
              <c:f>(Lichthinder!$X$18,Lichthinder!$L$18)</c:f>
              <c:numCache>
                <c:formatCode>0.00</c:formatCode>
                <c:ptCount val="2"/>
                <c:pt idx="0">
                  <c:v>34.9</c:v>
                </c:pt>
                <c:pt idx="1">
                  <c:v>27.893170761343868</c:v>
                </c:pt>
              </c:numCache>
            </c:numRef>
          </c:yVal>
        </c:ser>
        <c:ser>
          <c:idx val="9"/>
          <c:order val="7"/>
          <c:tx>
            <c:strRef>
              <c:f>Lichthinder!$B$19</c:f>
              <c:strCache>
                <c:ptCount val="1"/>
                <c:pt idx="0">
                  <c:v>6</c:v>
                </c:pt>
              </c:strCache>
            </c:strRef>
          </c:tx>
          <c:spPr>
            <a:ln w="15875">
              <a:solidFill>
                <a:prstClr val="black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(Lichthinder!$W$19,Lichthinder!$K$19)</c:f>
              <c:numCache>
                <c:formatCode>0.00</c:formatCode>
                <c:ptCount val="2"/>
                <c:pt idx="0">
                  <c:v>-35.049999999999997</c:v>
                </c:pt>
                <c:pt idx="1">
                  <c:v>-6.8035649878949727</c:v>
                </c:pt>
              </c:numCache>
            </c:numRef>
          </c:xVal>
          <c:yVal>
            <c:numRef>
              <c:f>(Lichthinder!$X$19,Lichthinder!$L$19)</c:f>
              <c:numCache>
                <c:formatCode>0.00</c:formatCode>
                <c:ptCount val="2"/>
                <c:pt idx="0">
                  <c:v>34.9</c:v>
                </c:pt>
                <c:pt idx="1">
                  <c:v>29.40944923030855</c:v>
                </c:pt>
              </c:numCache>
            </c:numRef>
          </c:yVal>
        </c:ser>
        <c:ser>
          <c:idx val="10"/>
          <c:order val="8"/>
          <c:tx>
            <c:strRef>
              <c:f>Lichthinder!$B$20</c:f>
              <c:strCache>
                <c:ptCount val="1"/>
                <c:pt idx="0">
                  <c:v>7</c:v>
                </c:pt>
              </c:strCache>
            </c:strRef>
          </c:tx>
          <c:marker>
            <c:symbol val="none"/>
          </c:marker>
          <c:dPt>
            <c:idx val="1"/>
            <c:spPr>
              <a:ln w="15875">
                <a:solidFill>
                  <a:prstClr val="black"/>
                </a:solidFill>
                <a:headEnd type="oval"/>
                <a:tailEnd type="triangle"/>
              </a:ln>
            </c:spPr>
          </c:dPt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(Lichthinder!$W$20,Lichthinder!$K$20)</c:f>
              <c:numCache>
                <c:formatCode>0.00</c:formatCode>
                <c:ptCount val="2"/>
                <c:pt idx="0">
                  <c:v>-34.950000000000003</c:v>
                </c:pt>
                <c:pt idx="1">
                  <c:v>-6.6411648570209891</c:v>
                </c:pt>
              </c:numCache>
            </c:numRef>
          </c:xVal>
          <c:yVal>
            <c:numRef>
              <c:f>(Lichthinder!$X$20,Lichthinder!$L$20)</c:f>
              <c:numCache>
                <c:formatCode>0.00</c:formatCode>
                <c:ptCount val="2"/>
                <c:pt idx="0">
                  <c:v>34.9</c:v>
                </c:pt>
                <c:pt idx="1">
                  <c:v>30.921452679553337</c:v>
                </c:pt>
              </c:numCache>
            </c:numRef>
          </c:yVal>
        </c:ser>
        <c:ser>
          <c:idx val="11"/>
          <c:order val="9"/>
          <c:tx>
            <c:strRef>
              <c:f>Lichthinder!$B$21</c:f>
              <c:strCache>
                <c:ptCount val="1"/>
                <c:pt idx="0">
                  <c:v>8</c:v>
                </c:pt>
              </c:strCache>
            </c:strRef>
          </c:tx>
          <c:spPr>
            <a:ln w="15875">
              <a:solidFill>
                <a:schemeClr val="tx1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(Lichthinder!$W$21,Lichthinder!$K$21)</c:f>
              <c:numCache>
                <c:formatCode>0.00</c:formatCode>
                <c:ptCount val="2"/>
                <c:pt idx="0">
                  <c:v>-34.85</c:v>
                </c:pt>
                <c:pt idx="1">
                  <c:v>-6.5590970265834478</c:v>
                </c:pt>
              </c:numCache>
            </c:numRef>
          </c:xVal>
          <c:yVal>
            <c:numRef>
              <c:f>(Lichthinder!$X$21,Lichthinder!$L$21)</c:f>
              <c:numCache>
                <c:formatCode>0.00</c:formatCode>
                <c:ptCount val="2"/>
                <c:pt idx="0">
                  <c:v>34.9</c:v>
                </c:pt>
                <c:pt idx="1">
                  <c:v>32.424866708914195</c:v>
                </c:pt>
              </c:numCache>
            </c:numRef>
          </c:yVal>
        </c:ser>
        <c:ser>
          <c:idx val="2"/>
          <c:order val="10"/>
          <c:tx>
            <c:strRef>
              <c:f>Lichthinder!$B$25</c:f>
              <c:strCache>
                <c:ptCount val="1"/>
                <c:pt idx="0">
                  <c:v>10</c:v>
                </c:pt>
              </c:strCache>
            </c:strRef>
          </c:tx>
          <c:spPr>
            <a:ln w="15875">
              <a:solidFill>
                <a:sysClr val="windowText" lastClr="000000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(Lichthinder!$C$25,Lichthinder!$K$25)</c:f>
              <c:numCache>
                <c:formatCode>0.00</c:formatCode>
                <c:ptCount val="2"/>
                <c:pt idx="0">
                  <c:v>35.15</c:v>
                </c:pt>
                <c:pt idx="1">
                  <c:v>9.1180594535333803</c:v>
                </c:pt>
              </c:numCache>
            </c:numRef>
          </c:xVal>
          <c:yVal>
            <c:numRef>
              <c:f>(Lichthinder!$D$25,Lichthinder!$L$25)</c:f>
              <c:numCache>
                <c:formatCode>0.00</c:formatCode>
                <c:ptCount val="2"/>
                <c:pt idx="0">
                  <c:v>35.1</c:v>
                </c:pt>
                <c:pt idx="1">
                  <c:v>22.403374251879235</c:v>
                </c:pt>
              </c:numCache>
            </c:numRef>
          </c:yVal>
        </c:ser>
        <c:ser>
          <c:idx val="12"/>
          <c:order val="11"/>
          <c:tx>
            <c:strRef>
              <c:f>Lichthinder!$B$26</c:f>
              <c:strCache>
                <c:ptCount val="1"/>
                <c:pt idx="0">
                  <c:v>11</c:v>
                </c:pt>
              </c:strCache>
            </c:strRef>
          </c:tx>
          <c:spPr>
            <a:ln w="15875">
              <a:solidFill>
                <a:prstClr val="black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0"/>
              <c:delete val="1"/>
            </c:dLbl>
            <c:showSerName val="1"/>
          </c:dLbls>
          <c:xVal>
            <c:numRef>
              <c:f>(Lichthinder!$C$26,Lichthinder!$K$26)</c:f>
              <c:numCache>
                <c:formatCode>0.00</c:formatCode>
                <c:ptCount val="2"/>
                <c:pt idx="0">
                  <c:v>35.049999999999997</c:v>
                </c:pt>
                <c:pt idx="1">
                  <c:v>8.5623670576734021</c:v>
                </c:pt>
              </c:numCache>
            </c:numRef>
          </c:xVal>
          <c:yVal>
            <c:numRef>
              <c:f>(Lichthinder!$D$26,Lichthinder!$L$26)</c:f>
              <c:numCache>
                <c:formatCode>0.00</c:formatCode>
                <c:ptCount val="2"/>
                <c:pt idx="0">
                  <c:v>35.1</c:v>
                </c:pt>
                <c:pt idx="1">
                  <c:v>23.856666874978448</c:v>
                </c:pt>
              </c:numCache>
            </c:numRef>
          </c:yVal>
        </c:ser>
        <c:ser>
          <c:idx val="13"/>
          <c:order val="12"/>
          <c:tx>
            <c:strRef>
              <c:f>Lichthinder!$B$27</c:f>
              <c:strCache>
                <c:ptCount val="1"/>
                <c:pt idx="0">
                  <c:v>12</c:v>
                </c:pt>
              </c:strCache>
            </c:strRef>
          </c:tx>
          <c:spPr>
            <a:ln w="15875">
              <a:solidFill>
                <a:prstClr val="black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(Lichthinder!$C$27,Lichthinder!$K$27)</c:f>
              <c:numCache>
                <c:formatCode>0.00</c:formatCode>
                <c:ptCount val="2"/>
                <c:pt idx="0">
                  <c:v>34.950000000000003</c:v>
                </c:pt>
                <c:pt idx="1">
                  <c:v>8.0869673257187777</c:v>
                </c:pt>
              </c:numCache>
            </c:numRef>
          </c:xVal>
          <c:yVal>
            <c:numRef>
              <c:f>(Lichthinder!$D$27,Lichthinder!$L$27)</c:f>
              <c:numCache>
                <c:formatCode>0.00</c:formatCode>
                <c:ptCount val="2"/>
                <c:pt idx="0">
                  <c:v>35.1</c:v>
                </c:pt>
                <c:pt idx="1">
                  <c:v>25.32265570444121</c:v>
                </c:pt>
              </c:numCache>
            </c:numRef>
          </c:yVal>
        </c:ser>
        <c:ser>
          <c:idx val="14"/>
          <c:order val="13"/>
          <c:tx>
            <c:strRef>
              <c:f>Lichthinder!$B$28</c:f>
              <c:strCache>
                <c:ptCount val="1"/>
                <c:pt idx="0">
                  <c:v>13</c:v>
                </c:pt>
              </c:strCache>
            </c:strRef>
          </c:tx>
          <c:spPr>
            <a:ln w="15875">
              <a:solidFill>
                <a:prstClr val="black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(Lichthinder!$C$28,Lichthinder!$K$28)</c:f>
              <c:numCache>
                <c:formatCode>0.00</c:formatCode>
                <c:ptCount val="2"/>
                <c:pt idx="0">
                  <c:v>34.85</c:v>
                </c:pt>
                <c:pt idx="1">
                  <c:v>7.6919302815086823</c:v>
                </c:pt>
              </c:numCache>
            </c:numRef>
          </c:xVal>
          <c:yVal>
            <c:numRef>
              <c:f>(Lichthinder!$D$28,Lichthinder!$L$28)</c:f>
              <c:numCache>
                <c:formatCode>0.00</c:formatCode>
                <c:ptCount val="2"/>
                <c:pt idx="0">
                  <c:v>35.1</c:v>
                </c:pt>
                <c:pt idx="1">
                  <c:v>26.796944837863848</c:v>
                </c:pt>
              </c:numCache>
            </c:numRef>
          </c:yVal>
        </c:ser>
        <c:ser>
          <c:idx val="15"/>
          <c:order val="14"/>
          <c:tx>
            <c:strRef>
              <c:f>Lichthinder!$B$29</c:f>
              <c:strCache>
                <c:ptCount val="1"/>
                <c:pt idx="0">
                  <c:v>14</c:v>
                </c:pt>
              </c:strCache>
            </c:strRef>
          </c:tx>
          <c:spPr>
            <a:ln w="15875">
              <a:solidFill>
                <a:prstClr val="black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0"/>
              <c:delete val="1"/>
            </c:dLbl>
            <c:showSerName val="1"/>
          </c:dLbls>
          <c:xVal>
            <c:numRef>
              <c:f>(Lichthinder!$C$29,Lichthinder!$K$29)</c:f>
              <c:numCache>
                <c:formatCode>0.00</c:formatCode>
                <c:ptCount val="2"/>
                <c:pt idx="0">
                  <c:v>35.15</c:v>
                </c:pt>
                <c:pt idx="1">
                  <c:v>7.0471428850565161</c:v>
                </c:pt>
              </c:numCache>
            </c:numRef>
          </c:xVal>
          <c:yVal>
            <c:numRef>
              <c:f>(Lichthinder!$D$29,Lichthinder!$L$29)</c:f>
              <c:numCache>
                <c:formatCode>0.00</c:formatCode>
                <c:ptCount val="2"/>
                <c:pt idx="0">
                  <c:v>34.9</c:v>
                </c:pt>
                <c:pt idx="1">
                  <c:v>27.893170761343868</c:v>
                </c:pt>
              </c:numCache>
            </c:numRef>
          </c:yVal>
        </c:ser>
        <c:ser>
          <c:idx val="16"/>
          <c:order val="15"/>
          <c:tx>
            <c:strRef>
              <c:f>Lichthinder!$B$30</c:f>
              <c:strCache>
                <c:ptCount val="1"/>
                <c:pt idx="0">
                  <c:v>15</c:v>
                </c:pt>
              </c:strCache>
            </c:strRef>
          </c:tx>
          <c:spPr>
            <a:ln w="15875">
              <a:solidFill>
                <a:prstClr val="black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(Lichthinder!$C$30,Lichthinder!$K$30)</c:f>
              <c:numCache>
                <c:formatCode>0.00</c:formatCode>
                <c:ptCount val="2"/>
                <c:pt idx="0">
                  <c:v>35.049999999999997</c:v>
                </c:pt>
                <c:pt idx="1">
                  <c:v>6.8035649878949727</c:v>
                </c:pt>
              </c:numCache>
            </c:numRef>
          </c:xVal>
          <c:yVal>
            <c:numRef>
              <c:f>(Lichthinder!$D$30,Lichthinder!$L$30)</c:f>
              <c:numCache>
                <c:formatCode>0.00</c:formatCode>
                <c:ptCount val="2"/>
                <c:pt idx="0">
                  <c:v>34.9</c:v>
                </c:pt>
                <c:pt idx="1">
                  <c:v>29.409449230308546</c:v>
                </c:pt>
              </c:numCache>
            </c:numRef>
          </c:yVal>
        </c:ser>
        <c:ser>
          <c:idx val="17"/>
          <c:order val="16"/>
          <c:tx>
            <c:strRef>
              <c:f>Lichthinder!$B$31</c:f>
              <c:strCache>
                <c:ptCount val="1"/>
                <c:pt idx="0">
                  <c:v>16</c:v>
                </c:pt>
              </c:strCache>
            </c:strRef>
          </c:tx>
          <c:spPr>
            <a:ln w="15875">
              <a:solidFill>
                <a:prstClr val="black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(Lichthinder!$C$31,Lichthinder!$K$31)</c:f>
              <c:numCache>
                <c:formatCode>0.00</c:formatCode>
                <c:ptCount val="2"/>
                <c:pt idx="0">
                  <c:v>34.950000000000003</c:v>
                </c:pt>
                <c:pt idx="1">
                  <c:v>6.6411648570209891</c:v>
                </c:pt>
              </c:numCache>
            </c:numRef>
          </c:xVal>
          <c:yVal>
            <c:numRef>
              <c:f>(Lichthinder!$D$31,Lichthinder!$L$31)</c:f>
              <c:numCache>
                <c:formatCode>0.00</c:formatCode>
                <c:ptCount val="2"/>
                <c:pt idx="0">
                  <c:v>34.9</c:v>
                </c:pt>
                <c:pt idx="1">
                  <c:v>30.92145267955334</c:v>
                </c:pt>
              </c:numCache>
            </c:numRef>
          </c:yVal>
        </c:ser>
        <c:ser>
          <c:idx val="18"/>
          <c:order val="17"/>
          <c:tx>
            <c:strRef>
              <c:f>Lichthinder!$B$32</c:f>
              <c:strCache>
                <c:ptCount val="1"/>
                <c:pt idx="0">
                  <c:v>17</c:v>
                </c:pt>
              </c:strCache>
            </c:strRef>
          </c:tx>
          <c:spPr>
            <a:ln w="15875">
              <a:solidFill>
                <a:prstClr val="black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(Lichthinder!$C$32,Lichthinder!$K$32)</c:f>
              <c:numCache>
                <c:formatCode>0.00</c:formatCode>
                <c:ptCount val="2"/>
                <c:pt idx="0">
                  <c:v>34.85</c:v>
                </c:pt>
                <c:pt idx="1">
                  <c:v>6.5590970265834478</c:v>
                </c:pt>
              </c:numCache>
            </c:numRef>
          </c:xVal>
          <c:yVal>
            <c:numRef>
              <c:f>(Lichthinder!$D$32,Lichthinder!$L$32)</c:f>
              <c:numCache>
                <c:formatCode>0.00</c:formatCode>
                <c:ptCount val="2"/>
                <c:pt idx="0">
                  <c:v>34.9</c:v>
                </c:pt>
                <c:pt idx="1">
                  <c:v>32.424866708914195</c:v>
                </c:pt>
              </c:numCache>
            </c:numRef>
          </c:yVal>
        </c:ser>
        <c:ser>
          <c:idx val="0"/>
          <c:order val="18"/>
          <c:tx>
            <c:strRef>
              <c:f>Lichthinder!$B$36</c:f>
              <c:strCache>
                <c:ptCount val="1"/>
                <c:pt idx="0">
                  <c:v>19</c:v>
                </c:pt>
              </c:strCache>
            </c:strRef>
          </c:tx>
          <c:spPr>
            <a:ln w="15875">
              <a:solidFill>
                <a:sysClr val="windowText" lastClr="000000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(Lichthinder!$C$36,Lichthinder!$K$36)</c:f>
              <c:numCache>
                <c:formatCode>0.00</c:formatCode>
                <c:ptCount val="2"/>
                <c:pt idx="0">
                  <c:v>-35.15</c:v>
                </c:pt>
                <c:pt idx="1">
                  <c:v>-9.1180594535333803</c:v>
                </c:pt>
              </c:numCache>
            </c:numRef>
          </c:xVal>
          <c:yVal>
            <c:numRef>
              <c:f>(Lichthinder!$D$36,Lichthinder!$L$36)</c:f>
              <c:numCache>
                <c:formatCode>0.00</c:formatCode>
                <c:ptCount val="2"/>
                <c:pt idx="0">
                  <c:v>-35.1</c:v>
                </c:pt>
                <c:pt idx="1">
                  <c:v>-22.403374251879235</c:v>
                </c:pt>
              </c:numCache>
            </c:numRef>
          </c:yVal>
        </c:ser>
        <c:ser>
          <c:idx val="19"/>
          <c:order val="19"/>
          <c:tx>
            <c:strRef>
              <c:f>Lichthinder!$B$37</c:f>
              <c:strCache>
                <c:ptCount val="1"/>
                <c:pt idx="0">
                  <c:v>20</c:v>
                </c:pt>
              </c:strCache>
            </c:strRef>
          </c:tx>
          <c:spPr>
            <a:ln w="15875">
              <a:solidFill>
                <a:sysClr val="windowText" lastClr="000000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(Lichthinder!$C$37,Lichthinder!$K$37)</c:f>
              <c:numCache>
                <c:formatCode>0.00</c:formatCode>
                <c:ptCount val="2"/>
                <c:pt idx="0">
                  <c:v>-35.049999999999997</c:v>
                </c:pt>
                <c:pt idx="1">
                  <c:v>-8.5623670576734021</c:v>
                </c:pt>
              </c:numCache>
            </c:numRef>
          </c:xVal>
          <c:yVal>
            <c:numRef>
              <c:f>(Lichthinder!$D$37,Lichthinder!$L$37)</c:f>
              <c:numCache>
                <c:formatCode>0.00</c:formatCode>
                <c:ptCount val="2"/>
                <c:pt idx="0">
                  <c:v>-35.1</c:v>
                </c:pt>
                <c:pt idx="1">
                  <c:v>-23.856666874978448</c:v>
                </c:pt>
              </c:numCache>
            </c:numRef>
          </c:yVal>
        </c:ser>
        <c:ser>
          <c:idx val="20"/>
          <c:order val="20"/>
          <c:tx>
            <c:strRef>
              <c:f>Lichthinder!$B$38</c:f>
              <c:strCache>
                <c:ptCount val="1"/>
                <c:pt idx="0">
                  <c:v>21</c:v>
                </c:pt>
              </c:strCache>
            </c:strRef>
          </c:tx>
          <c:spPr>
            <a:ln w="15875">
              <a:solidFill>
                <a:sysClr val="windowText" lastClr="000000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(Lichthinder!$C$38,Lichthinder!$K$38)</c:f>
              <c:numCache>
                <c:formatCode>0.00</c:formatCode>
                <c:ptCount val="2"/>
                <c:pt idx="0">
                  <c:v>-34.950000000000003</c:v>
                </c:pt>
                <c:pt idx="1">
                  <c:v>-8.0869673257187742</c:v>
                </c:pt>
              </c:numCache>
            </c:numRef>
          </c:xVal>
          <c:yVal>
            <c:numRef>
              <c:f>(Lichthinder!$D$38,Lichthinder!$L$38)</c:f>
              <c:numCache>
                <c:formatCode>0.00</c:formatCode>
                <c:ptCount val="2"/>
                <c:pt idx="0">
                  <c:v>-35.1</c:v>
                </c:pt>
                <c:pt idx="1">
                  <c:v>-25.322655704441217</c:v>
                </c:pt>
              </c:numCache>
            </c:numRef>
          </c:yVal>
        </c:ser>
        <c:ser>
          <c:idx val="21"/>
          <c:order val="21"/>
          <c:tx>
            <c:strRef>
              <c:f>Lichthinder!$B$39</c:f>
              <c:strCache>
                <c:ptCount val="1"/>
                <c:pt idx="0">
                  <c:v>22</c:v>
                </c:pt>
              </c:strCache>
            </c:strRef>
          </c:tx>
          <c:spPr>
            <a:ln w="15875">
              <a:solidFill>
                <a:sysClr val="windowText" lastClr="000000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(Lichthinder!$C$39,Lichthinder!$K$39)</c:f>
              <c:numCache>
                <c:formatCode>0.00</c:formatCode>
                <c:ptCount val="2"/>
                <c:pt idx="0">
                  <c:v>-34.85</c:v>
                </c:pt>
                <c:pt idx="1">
                  <c:v>-7.6919302815086859</c:v>
                </c:pt>
              </c:numCache>
            </c:numRef>
          </c:xVal>
          <c:yVal>
            <c:numRef>
              <c:f>(Lichthinder!$D$39,Lichthinder!$L$39)</c:f>
              <c:numCache>
                <c:formatCode>0.00</c:formatCode>
                <c:ptCount val="2"/>
                <c:pt idx="0">
                  <c:v>-35.1</c:v>
                </c:pt>
                <c:pt idx="1">
                  <c:v>-26.79694483786384</c:v>
                </c:pt>
              </c:numCache>
            </c:numRef>
          </c:yVal>
        </c:ser>
        <c:ser>
          <c:idx val="22"/>
          <c:order val="22"/>
          <c:tx>
            <c:strRef>
              <c:f>Lichthinder!$B$40</c:f>
              <c:strCache>
                <c:ptCount val="1"/>
                <c:pt idx="0">
                  <c:v>23</c:v>
                </c:pt>
              </c:strCache>
            </c:strRef>
          </c:tx>
          <c:spPr>
            <a:ln w="15875">
              <a:solidFill>
                <a:sysClr val="windowText" lastClr="000000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(Lichthinder!$C$40,Lichthinder!$K$40)</c:f>
              <c:numCache>
                <c:formatCode>0.00</c:formatCode>
                <c:ptCount val="2"/>
                <c:pt idx="0">
                  <c:v>-35.15</c:v>
                </c:pt>
                <c:pt idx="1">
                  <c:v>-7.0471428850565161</c:v>
                </c:pt>
              </c:numCache>
            </c:numRef>
          </c:xVal>
          <c:yVal>
            <c:numRef>
              <c:f>(Lichthinder!$D$40,Lichthinder!$L$40)</c:f>
              <c:numCache>
                <c:formatCode>0.00</c:formatCode>
                <c:ptCount val="2"/>
                <c:pt idx="0">
                  <c:v>-34.9</c:v>
                </c:pt>
                <c:pt idx="1">
                  <c:v>-27.893170761343868</c:v>
                </c:pt>
              </c:numCache>
            </c:numRef>
          </c:yVal>
        </c:ser>
        <c:ser>
          <c:idx val="23"/>
          <c:order val="23"/>
          <c:tx>
            <c:strRef>
              <c:f>Lichthinder!$B$41</c:f>
              <c:strCache>
                <c:ptCount val="1"/>
                <c:pt idx="0">
                  <c:v>24</c:v>
                </c:pt>
              </c:strCache>
            </c:strRef>
          </c:tx>
          <c:spPr>
            <a:ln w="15875">
              <a:solidFill>
                <a:sysClr val="windowText" lastClr="000000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(Lichthinder!$C$41,Lichthinder!$K$41)</c:f>
              <c:numCache>
                <c:formatCode>0.00</c:formatCode>
                <c:ptCount val="2"/>
                <c:pt idx="0">
                  <c:v>-35.049999999999997</c:v>
                </c:pt>
                <c:pt idx="1">
                  <c:v>-6.8035649878949727</c:v>
                </c:pt>
              </c:numCache>
            </c:numRef>
          </c:xVal>
          <c:yVal>
            <c:numRef>
              <c:f>(Lichthinder!$D$41,Lichthinder!$L$41)</c:f>
              <c:numCache>
                <c:formatCode>0.00</c:formatCode>
                <c:ptCount val="2"/>
                <c:pt idx="0">
                  <c:v>-34.9</c:v>
                </c:pt>
                <c:pt idx="1">
                  <c:v>-29.40944923030855</c:v>
                </c:pt>
              </c:numCache>
            </c:numRef>
          </c:yVal>
        </c:ser>
        <c:ser>
          <c:idx val="24"/>
          <c:order val="24"/>
          <c:tx>
            <c:strRef>
              <c:f>Lichthinder!$B$42</c:f>
              <c:strCache>
                <c:ptCount val="1"/>
                <c:pt idx="0">
                  <c:v>25</c:v>
                </c:pt>
              </c:strCache>
            </c:strRef>
          </c:tx>
          <c:spPr>
            <a:ln w="15875">
              <a:solidFill>
                <a:sysClr val="windowText" lastClr="000000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(Lichthinder!$C$42,Lichthinder!$K$42)</c:f>
              <c:numCache>
                <c:formatCode>0.00</c:formatCode>
                <c:ptCount val="2"/>
                <c:pt idx="0">
                  <c:v>-34.950000000000003</c:v>
                </c:pt>
                <c:pt idx="1">
                  <c:v>-6.6411648570209891</c:v>
                </c:pt>
              </c:numCache>
            </c:numRef>
          </c:xVal>
          <c:yVal>
            <c:numRef>
              <c:f>(Lichthinder!$D$42,Lichthinder!$L$42)</c:f>
              <c:numCache>
                <c:formatCode>0.00</c:formatCode>
                <c:ptCount val="2"/>
                <c:pt idx="0">
                  <c:v>-34.9</c:v>
                </c:pt>
                <c:pt idx="1">
                  <c:v>-30.921452679553337</c:v>
                </c:pt>
              </c:numCache>
            </c:numRef>
          </c:yVal>
        </c:ser>
        <c:ser>
          <c:idx val="25"/>
          <c:order val="25"/>
          <c:tx>
            <c:strRef>
              <c:f>Lichthinder!$B$43</c:f>
              <c:strCache>
                <c:ptCount val="1"/>
                <c:pt idx="0">
                  <c:v>26</c:v>
                </c:pt>
              </c:strCache>
            </c:strRef>
          </c:tx>
          <c:spPr>
            <a:ln w="15875">
              <a:solidFill>
                <a:sysClr val="windowText" lastClr="000000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(Lichthinder!$C$43,Lichthinder!$K$43)</c:f>
              <c:numCache>
                <c:formatCode>0.00</c:formatCode>
                <c:ptCount val="2"/>
                <c:pt idx="0">
                  <c:v>-34.85</c:v>
                </c:pt>
                <c:pt idx="1">
                  <c:v>-6.5590970265834478</c:v>
                </c:pt>
              </c:numCache>
            </c:numRef>
          </c:xVal>
          <c:yVal>
            <c:numRef>
              <c:f>(Lichthinder!$D$43,Lichthinder!$L$43)</c:f>
              <c:numCache>
                <c:formatCode>0.00</c:formatCode>
                <c:ptCount val="2"/>
                <c:pt idx="0">
                  <c:v>-34.9</c:v>
                </c:pt>
                <c:pt idx="1">
                  <c:v>-32.424866708914195</c:v>
                </c:pt>
              </c:numCache>
            </c:numRef>
          </c:yVal>
        </c:ser>
        <c:ser>
          <c:idx val="1"/>
          <c:order val="26"/>
          <c:tx>
            <c:strRef>
              <c:f>Lichthinder!$B$47</c:f>
              <c:strCache>
                <c:ptCount val="1"/>
                <c:pt idx="0">
                  <c:v>28</c:v>
                </c:pt>
              </c:strCache>
            </c:strRef>
          </c:tx>
          <c:spPr>
            <a:ln w="15875">
              <a:solidFill>
                <a:sysClr val="windowText" lastClr="000000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(Lichthinder!$C$47,Lichthinder!$K$47)</c:f>
              <c:numCache>
                <c:formatCode>0.00</c:formatCode>
                <c:ptCount val="2"/>
                <c:pt idx="0">
                  <c:v>35.15</c:v>
                </c:pt>
                <c:pt idx="1">
                  <c:v>9.1180594535333803</c:v>
                </c:pt>
              </c:numCache>
            </c:numRef>
          </c:xVal>
          <c:yVal>
            <c:numRef>
              <c:f>(Lichthinder!$D$47,Lichthinder!$L$47)</c:f>
              <c:numCache>
                <c:formatCode>0.00</c:formatCode>
                <c:ptCount val="2"/>
                <c:pt idx="0">
                  <c:v>-35.1</c:v>
                </c:pt>
                <c:pt idx="1">
                  <c:v>-22.403374251879235</c:v>
                </c:pt>
              </c:numCache>
            </c:numRef>
          </c:yVal>
        </c:ser>
        <c:ser>
          <c:idx val="26"/>
          <c:order val="27"/>
          <c:tx>
            <c:strRef>
              <c:f>Lichthinder!$B$48</c:f>
              <c:strCache>
                <c:ptCount val="1"/>
                <c:pt idx="0">
                  <c:v>29</c:v>
                </c:pt>
              </c:strCache>
            </c:strRef>
          </c:tx>
          <c:spPr>
            <a:ln w="15875">
              <a:solidFill>
                <a:sysClr val="windowText" lastClr="000000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(Lichthinder!$C$48,Lichthinder!$K$48)</c:f>
              <c:numCache>
                <c:formatCode>0.00</c:formatCode>
                <c:ptCount val="2"/>
                <c:pt idx="0">
                  <c:v>35.049999999999997</c:v>
                </c:pt>
                <c:pt idx="1">
                  <c:v>8.5623670576734021</c:v>
                </c:pt>
              </c:numCache>
            </c:numRef>
          </c:xVal>
          <c:yVal>
            <c:numRef>
              <c:f>(Lichthinder!$D$48,Lichthinder!$L$48)</c:f>
              <c:numCache>
                <c:formatCode>0.00</c:formatCode>
                <c:ptCount val="2"/>
                <c:pt idx="0">
                  <c:v>-35.1</c:v>
                </c:pt>
                <c:pt idx="1">
                  <c:v>-23.856666874978448</c:v>
                </c:pt>
              </c:numCache>
            </c:numRef>
          </c:yVal>
        </c:ser>
        <c:ser>
          <c:idx val="27"/>
          <c:order val="28"/>
          <c:tx>
            <c:strRef>
              <c:f>Lichthinder!$B$49</c:f>
              <c:strCache>
                <c:ptCount val="1"/>
                <c:pt idx="0">
                  <c:v>30</c:v>
                </c:pt>
              </c:strCache>
            </c:strRef>
          </c:tx>
          <c:spPr>
            <a:ln w="15875">
              <a:solidFill>
                <a:sysClr val="windowText" lastClr="000000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(Lichthinder!$C$49,Lichthinder!$K$49)</c:f>
              <c:numCache>
                <c:formatCode>0.00</c:formatCode>
                <c:ptCount val="2"/>
                <c:pt idx="0">
                  <c:v>34.950000000000003</c:v>
                </c:pt>
                <c:pt idx="1">
                  <c:v>8.0869673257187777</c:v>
                </c:pt>
              </c:numCache>
            </c:numRef>
          </c:xVal>
          <c:yVal>
            <c:numRef>
              <c:f>(Lichthinder!$D$49,Lichthinder!$L$49)</c:f>
              <c:numCache>
                <c:formatCode>0.00</c:formatCode>
                <c:ptCount val="2"/>
                <c:pt idx="0">
                  <c:v>-35.1</c:v>
                </c:pt>
                <c:pt idx="1">
                  <c:v>-25.32265570444121</c:v>
                </c:pt>
              </c:numCache>
            </c:numRef>
          </c:yVal>
        </c:ser>
        <c:ser>
          <c:idx val="28"/>
          <c:order val="29"/>
          <c:tx>
            <c:strRef>
              <c:f>Lichthinder!$B$50</c:f>
              <c:strCache>
                <c:ptCount val="1"/>
                <c:pt idx="0">
                  <c:v>31</c:v>
                </c:pt>
              </c:strCache>
            </c:strRef>
          </c:tx>
          <c:spPr>
            <a:ln w="15875">
              <a:solidFill>
                <a:sysClr val="windowText" lastClr="000000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(Lichthinder!$C$50,Lichthinder!$K$50)</c:f>
              <c:numCache>
                <c:formatCode>0.00</c:formatCode>
                <c:ptCount val="2"/>
                <c:pt idx="0">
                  <c:v>34.85</c:v>
                </c:pt>
                <c:pt idx="1">
                  <c:v>7.6919302815086823</c:v>
                </c:pt>
              </c:numCache>
            </c:numRef>
          </c:xVal>
          <c:yVal>
            <c:numRef>
              <c:f>(Lichthinder!$D$50,Lichthinder!$L$50)</c:f>
              <c:numCache>
                <c:formatCode>0.00</c:formatCode>
                <c:ptCount val="2"/>
                <c:pt idx="0">
                  <c:v>-35.1</c:v>
                </c:pt>
                <c:pt idx="1">
                  <c:v>-26.796944837863848</c:v>
                </c:pt>
              </c:numCache>
            </c:numRef>
          </c:yVal>
        </c:ser>
        <c:ser>
          <c:idx val="29"/>
          <c:order val="30"/>
          <c:tx>
            <c:strRef>
              <c:f>Lichthinder!$B$51</c:f>
              <c:strCache>
                <c:ptCount val="1"/>
                <c:pt idx="0">
                  <c:v>32</c:v>
                </c:pt>
              </c:strCache>
            </c:strRef>
          </c:tx>
          <c:spPr>
            <a:ln w="15875">
              <a:solidFill>
                <a:sysClr val="windowText" lastClr="000000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(Lichthinder!$C$51,Lichthinder!$K$51)</c:f>
              <c:numCache>
                <c:formatCode>0.00</c:formatCode>
                <c:ptCount val="2"/>
                <c:pt idx="0">
                  <c:v>35.15</c:v>
                </c:pt>
                <c:pt idx="1">
                  <c:v>7.0471428850565161</c:v>
                </c:pt>
              </c:numCache>
            </c:numRef>
          </c:xVal>
          <c:yVal>
            <c:numRef>
              <c:f>(Lichthinder!$D$51,Lichthinder!$L$51)</c:f>
              <c:numCache>
                <c:formatCode>0.00</c:formatCode>
                <c:ptCount val="2"/>
                <c:pt idx="0">
                  <c:v>-34.9</c:v>
                </c:pt>
                <c:pt idx="1">
                  <c:v>-27.893170761343868</c:v>
                </c:pt>
              </c:numCache>
            </c:numRef>
          </c:yVal>
        </c:ser>
        <c:ser>
          <c:idx val="30"/>
          <c:order val="31"/>
          <c:tx>
            <c:strRef>
              <c:f>Lichthinder!$B$52</c:f>
              <c:strCache>
                <c:ptCount val="1"/>
                <c:pt idx="0">
                  <c:v>33</c:v>
                </c:pt>
              </c:strCache>
            </c:strRef>
          </c:tx>
          <c:spPr>
            <a:ln w="15875">
              <a:solidFill>
                <a:sysClr val="windowText" lastClr="000000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(Lichthinder!$C$52,Lichthinder!$K$52)</c:f>
              <c:numCache>
                <c:formatCode>0.00</c:formatCode>
                <c:ptCount val="2"/>
                <c:pt idx="0">
                  <c:v>35.049999999999997</c:v>
                </c:pt>
                <c:pt idx="1">
                  <c:v>6.8035649878949727</c:v>
                </c:pt>
              </c:numCache>
            </c:numRef>
          </c:xVal>
          <c:yVal>
            <c:numRef>
              <c:f>(Lichthinder!$D$52,Lichthinder!$L$52)</c:f>
              <c:numCache>
                <c:formatCode>0.00</c:formatCode>
                <c:ptCount val="2"/>
                <c:pt idx="0">
                  <c:v>-34.9</c:v>
                </c:pt>
                <c:pt idx="1">
                  <c:v>-29.409449230308546</c:v>
                </c:pt>
              </c:numCache>
            </c:numRef>
          </c:yVal>
        </c:ser>
        <c:ser>
          <c:idx val="31"/>
          <c:order val="32"/>
          <c:tx>
            <c:strRef>
              <c:f>Lichthinder!$B$53</c:f>
              <c:strCache>
                <c:ptCount val="1"/>
                <c:pt idx="0">
                  <c:v>34</c:v>
                </c:pt>
              </c:strCache>
            </c:strRef>
          </c:tx>
          <c:spPr>
            <a:ln w="15875">
              <a:solidFill>
                <a:sysClr val="windowText" lastClr="000000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(Lichthinder!$C$53,Lichthinder!$K$53)</c:f>
              <c:numCache>
                <c:formatCode>0.00</c:formatCode>
                <c:ptCount val="2"/>
                <c:pt idx="0">
                  <c:v>34.950000000000003</c:v>
                </c:pt>
                <c:pt idx="1">
                  <c:v>6.6411648570209891</c:v>
                </c:pt>
              </c:numCache>
            </c:numRef>
          </c:xVal>
          <c:yVal>
            <c:numRef>
              <c:f>(Lichthinder!$D$53,Lichthinder!$L$53)</c:f>
              <c:numCache>
                <c:formatCode>0.00</c:formatCode>
                <c:ptCount val="2"/>
                <c:pt idx="0">
                  <c:v>-34.9</c:v>
                </c:pt>
                <c:pt idx="1">
                  <c:v>-30.92145267955334</c:v>
                </c:pt>
              </c:numCache>
            </c:numRef>
          </c:yVal>
        </c:ser>
        <c:ser>
          <c:idx val="32"/>
          <c:order val="33"/>
          <c:tx>
            <c:strRef>
              <c:f>Lichthinder!$B$54</c:f>
              <c:strCache>
                <c:ptCount val="1"/>
                <c:pt idx="0">
                  <c:v>35</c:v>
                </c:pt>
              </c:strCache>
            </c:strRef>
          </c:tx>
          <c:spPr>
            <a:ln w="15875">
              <a:solidFill>
                <a:sysClr val="windowText" lastClr="000000"/>
              </a:solidFill>
              <a:headEnd type="oval"/>
              <a:tailEnd type="triangle"/>
            </a:ln>
          </c:spPr>
          <c:marker>
            <c:symbol val="none"/>
          </c:marker>
          <c:dLbls>
            <c:dLbl>
              <c:idx val="1"/>
              <c:layout/>
              <c:showSerName val="1"/>
            </c:dLbl>
            <c:delete val="1"/>
          </c:dLbls>
          <c:xVal>
            <c:numRef>
              <c:f>(Lichthinder!$C$54,Lichthinder!$K$54)</c:f>
              <c:numCache>
                <c:formatCode>0.00</c:formatCode>
                <c:ptCount val="2"/>
                <c:pt idx="0">
                  <c:v>34.85</c:v>
                </c:pt>
                <c:pt idx="1">
                  <c:v>6.5590970265834478</c:v>
                </c:pt>
              </c:numCache>
            </c:numRef>
          </c:xVal>
          <c:yVal>
            <c:numRef>
              <c:f>(Lichthinder!$D$54,Lichthinder!$L$54)</c:f>
              <c:numCache>
                <c:formatCode>0.00</c:formatCode>
                <c:ptCount val="2"/>
                <c:pt idx="0">
                  <c:v>-34.9</c:v>
                </c:pt>
                <c:pt idx="1">
                  <c:v>-32.424866708914195</c:v>
                </c:pt>
              </c:numCache>
            </c:numRef>
          </c:yVal>
        </c:ser>
        <c:ser>
          <c:idx val="33"/>
          <c:order val="34"/>
          <c:tx>
            <c:v>UL</c:v>
          </c:tx>
          <c:marker>
            <c:symbol val="none"/>
          </c:marker>
          <c:xVal>
            <c:numRef>
              <c:f>Lichthinder!$AD$4</c:f>
              <c:numCache>
                <c:formatCode>0.00</c:formatCode>
                <c:ptCount val="1"/>
                <c:pt idx="0">
                  <c:v>-35.15</c:v>
                </c:pt>
              </c:numCache>
            </c:numRef>
          </c:xVal>
          <c:yVal>
            <c:numRef>
              <c:f>Lichthinder!$AE$4</c:f>
              <c:numCache>
                <c:formatCode>0.00</c:formatCode>
                <c:ptCount val="1"/>
                <c:pt idx="0">
                  <c:v>57.575000000000003</c:v>
                </c:pt>
              </c:numCache>
            </c:numRef>
          </c:yVal>
        </c:ser>
        <c:ser>
          <c:idx val="34"/>
          <c:order val="35"/>
          <c:tx>
            <c:v>UR</c:v>
          </c:tx>
          <c:marker>
            <c:symbol val="none"/>
          </c:marker>
          <c:xVal>
            <c:numRef>
              <c:f>Lichthinder!$AD$5</c:f>
              <c:numCache>
                <c:formatCode>0.00</c:formatCode>
                <c:ptCount val="1"/>
                <c:pt idx="0">
                  <c:v>100</c:v>
                </c:pt>
              </c:numCache>
            </c:numRef>
          </c:xVal>
          <c:yVal>
            <c:numRef>
              <c:f>Lichthinder!$AE$5</c:f>
              <c:numCache>
                <c:formatCode>0.00</c:formatCode>
                <c:ptCount val="1"/>
                <c:pt idx="0">
                  <c:v>57.575000000000003</c:v>
                </c:pt>
              </c:numCache>
            </c:numRef>
          </c:yVal>
        </c:ser>
        <c:ser>
          <c:idx val="35"/>
          <c:order val="36"/>
          <c:tx>
            <c:v>LL</c:v>
          </c:tx>
          <c:marker>
            <c:symbol val="none"/>
          </c:marker>
          <c:xVal>
            <c:numRef>
              <c:f>Lichthinder!$AD$6</c:f>
              <c:numCache>
                <c:formatCode>0.00</c:formatCode>
                <c:ptCount val="1"/>
                <c:pt idx="0">
                  <c:v>-35.15</c:v>
                </c:pt>
              </c:numCache>
            </c:numRef>
          </c:xVal>
          <c:yVal>
            <c:numRef>
              <c:f>Lichthinder!$AE$6</c:f>
              <c:numCache>
                <c:formatCode>0.00</c:formatCode>
                <c:ptCount val="1"/>
                <c:pt idx="0">
                  <c:v>-77.575000000000003</c:v>
                </c:pt>
              </c:numCache>
            </c:numRef>
          </c:yVal>
        </c:ser>
        <c:ser>
          <c:idx val="36"/>
          <c:order val="37"/>
          <c:tx>
            <c:v>LR</c:v>
          </c:tx>
          <c:marker>
            <c:symbol val="none"/>
          </c:marker>
          <c:xVal>
            <c:numRef>
              <c:f>Lichthinder!$AD$7</c:f>
              <c:numCache>
                <c:formatCode>0.00</c:formatCode>
                <c:ptCount val="1"/>
                <c:pt idx="0">
                  <c:v>100</c:v>
                </c:pt>
              </c:numCache>
            </c:numRef>
          </c:xVal>
          <c:yVal>
            <c:numRef>
              <c:f>Lichthinder!$AE$7</c:f>
              <c:numCache>
                <c:formatCode>0.00</c:formatCode>
                <c:ptCount val="1"/>
                <c:pt idx="0">
                  <c:v>-77.575000000000003</c:v>
                </c:pt>
              </c:numCache>
            </c:numRef>
          </c:yVal>
        </c:ser>
        <c:axId val="166119296"/>
        <c:axId val="166129664"/>
      </c:scatterChart>
      <c:valAx>
        <c:axId val="1661192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x</a:t>
                </a:r>
                <a:r>
                  <a:rPr lang="en-US" b="0"/>
                  <a:t> [in m]</a:t>
                </a:r>
              </a:p>
            </c:rich>
          </c:tx>
          <c:layout/>
        </c:title>
        <c:numFmt formatCode="0" sourceLinked="0"/>
        <c:majorTickMark val="none"/>
        <c:tickLblPos val="low"/>
        <c:crossAx val="166129664"/>
        <c:crosses val="autoZero"/>
        <c:crossBetween val="midCat"/>
        <c:majorUnit val="10"/>
      </c:valAx>
      <c:valAx>
        <c:axId val="16612966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nl-NL"/>
                  <a:t>y </a:t>
                </a:r>
                <a:r>
                  <a:rPr lang="nl-NL" b="0"/>
                  <a:t>[m]</a:t>
                </a:r>
              </a:p>
            </c:rich>
          </c:tx>
          <c:layout/>
        </c:title>
        <c:numFmt formatCode="0" sourceLinked="0"/>
        <c:majorTickMark val="none"/>
        <c:tickLblPos val="low"/>
        <c:crossAx val="166119296"/>
        <c:crosses val="autoZero"/>
        <c:crossBetween val="midCat"/>
        <c:majorUnit val="10"/>
      </c:valAx>
      <c:spPr>
        <a:noFill/>
        <a:ln w="6350">
          <a:solidFill>
            <a:sysClr val="windowText" lastClr="000000">
              <a:alpha val="95000"/>
            </a:sysClr>
          </a:solidFill>
          <a:prstDash val="solid"/>
        </a:ln>
      </c:spPr>
    </c:plotArea>
    <c:dispBlanksAs val="gap"/>
  </c:chart>
  <c:spPr>
    <a:ln w="6350">
      <a:solidFill>
        <a:sysClr val="windowText" lastClr="000000"/>
      </a:solidFill>
      <a:prstDash val="solid"/>
    </a:ln>
  </c:spPr>
  <c:printSettings>
    <c:headerFooter/>
    <c:pageMargins b="0.75000000000000633" l="0.70000000000000062" r="0.70000000000000062" t="0.75000000000000633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170930</xdr:colOff>
      <xdr:row>1</xdr:row>
      <xdr:rowOff>0</xdr:rowOff>
    </xdr:from>
    <xdr:to>
      <xdr:col>21</xdr:col>
      <xdr:colOff>25</xdr:colOff>
      <xdr:row>55</xdr:row>
      <xdr:rowOff>0</xdr:rowOff>
    </xdr:to>
    <xdr:graphicFrame macro="">
      <xdr:nvGraphicFramePr>
        <xdr:cNvPr id="2" name="Grafiek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sportlicht.nl/" TargetMode="External"/><Relationship Id="rId1" Type="http://schemas.openxmlformats.org/officeDocument/2006/relationships/hyperlink" Target="mailto:info@sportlicht.n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BB78"/>
  <sheetViews>
    <sheetView tabSelected="1" topLeftCell="B1" zoomScale="70" zoomScaleNormal="70" zoomScaleSheetLayoutView="100" workbookViewId="0">
      <selection activeCell="D6" sqref="D6:F6"/>
    </sheetView>
  </sheetViews>
  <sheetFormatPr defaultRowHeight="15" outlineLevelCol="1"/>
  <cols>
    <col min="1" max="1" width="1.7109375" style="3" customWidth="1"/>
    <col min="2" max="2" width="6.7109375" style="3" customWidth="1"/>
    <col min="3" max="9" width="13.7109375" style="3" customWidth="1"/>
    <col min="10" max="10" width="2.7109375" style="3" customWidth="1"/>
    <col min="11" max="13" width="13.7109375" style="3" customWidth="1"/>
    <col min="14" max="14" width="2.7109375" style="3" customWidth="1"/>
    <col min="15" max="17" width="13.7109375" style="3" customWidth="1"/>
    <col min="18" max="18" width="2.7109375" style="3" customWidth="1"/>
    <col min="19" max="19" width="13.7109375" style="3" customWidth="1"/>
    <col min="20" max="20" width="2.7109375" style="3" customWidth="1"/>
    <col min="21" max="21" width="155.7109375" style="4" customWidth="1"/>
    <col min="22" max="22" width="9.140625" style="3" customWidth="1"/>
    <col min="23" max="23" width="9.140625" hidden="1" customWidth="1" outlineLevel="1"/>
    <col min="24" max="35" width="9.140625" style="3" hidden="1" customWidth="1" outlineLevel="1"/>
    <col min="36" max="42" width="9.140625" style="4" hidden="1" customWidth="1" outlineLevel="1"/>
    <col min="43" max="44" width="9.140625" style="3" hidden="1" customWidth="1" outlineLevel="1"/>
    <col min="45" max="45" width="9.140625" style="4" hidden="1" customWidth="1" outlineLevel="1"/>
    <col min="46" max="53" width="9.140625" style="3" hidden="1" customWidth="1" outlineLevel="1"/>
    <col min="54" max="54" width="9.140625" style="3" customWidth="1" collapsed="1"/>
    <col min="55" max="16384" width="9.140625" style="3"/>
  </cols>
  <sheetData>
    <row r="1" spans="2:53" ht="20.100000000000001" customHeight="1">
      <c r="B1" s="77" t="s">
        <v>146</v>
      </c>
      <c r="C1" s="2"/>
      <c r="D1" s="2"/>
      <c r="E1" s="2"/>
      <c r="F1" s="2"/>
      <c r="G1" s="2"/>
      <c r="H1" s="2"/>
      <c r="I1" s="2"/>
    </row>
    <row r="2" spans="2:53">
      <c r="C2" s="2"/>
      <c r="D2" s="2"/>
      <c r="E2" s="2"/>
      <c r="F2" s="2"/>
      <c r="G2" s="2"/>
      <c r="H2" s="2"/>
      <c r="I2" s="2"/>
      <c r="K2" s="78" t="s">
        <v>26</v>
      </c>
      <c r="L2" s="7"/>
      <c r="M2" s="7"/>
      <c r="N2" s="7"/>
      <c r="O2" s="7"/>
      <c r="P2" s="7"/>
      <c r="Q2" s="7"/>
      <c r="R2" s="7"/>
      <c r="S2" s="8"/>
      <c r="T2" s="9"/>
      <c r="U2" s="10"/>
      <c r="V2" s="9"/>
      <c r="W2" t="s">
        <v>85</v>
      </c>
      <c r="X2" s="9"/>
      <c r="Y2" s="9"/>
      <c r="Z2"/>
      <c r="AD2" s="9"/>
      <c r="AE2" s="9"/>
      <c r="AF2" s="9"/>
      <c r="AG2" s="9"/>
      <c r="AH2" s="9"/>
      <c r="AI2" s="9" t="s">
        <v>67</v>
      </c>
      <c r="AJ2" s="10"/>
      <c r="AK2" s="112" t="s">
        <v>77</v>
      </c>
      <c r="AL2" s="112"/>
      <c r="AM2" s="113" t="s">
        <v>138</v>
      </c>
      <c r="AN2" s="113"/>
      <c r="AO2" s="113"/>
      <c r="AP2" s="113"/>
      <c r="AQ2" s="113"/>
      <c r="AR2" s="9"/>
    </row>
    <row r="3" spans="2:53">
      <c r="B3" s="6"/>
      <c r="C3" s="79" t="s">
        <v>59</v>
      </c>
      <c r="D3" s="2"/>
      <c r="E3" s="40" t="s">
        <v>126</v>
      </c>
      <c r="F3" s="2"/>
      <c r="G3" s="44" t="s">
        <v>126</v>
      </c>
      <c r="H3" s="2"/>
      <c r="I3" s="2"/>
      <c r="K3" s="76" t="s">
        <v>108</v>
      </c>
      <c r="L3" s="75"/>
      <c r="M3" s="75"/>
      <c r="N3" s="75"/>
      <c r="O3" s="75"/>
      <c r="P3" s="75"/>
      <c r="Q3" s="75"/>
      <c r="R3" s="75"/>
      <c r="S3" s="12"/>
      <c r="T3" s="9"/>
      <c r="U3" s="10"/>
      <c r="X3" s="65"/>
      <c r="Y3" s="65"/>
      <c r="Z3" s="65"/>
      <c r="AD3" s="70" t="s">
        <v>25</v>
      </c>
      <c r="AE3" s="10" t="s">
        <v>27</v>
      </c>
      <c r="AF3" s="9"/>
      <c r="AG3" s="9"/>
      <c r="AH3" s="9"/>
      <c r="AI3" s="10" t="s">
        <v>86</v>
      </c>
      <c r="AJ3" s="10"/>
      <c r="AK3" s="112" t="s">
        <v>139</v>
      </c>
      <c r="AL3" s="112"/>
      <c r="AM3" s="10" t="s">
        <v>81</v>
      </c>
      <c r="AN3" s="108" t="s">
        <v>83</v>
      </c>
      <c r="AO3" s="108" t="s">
        <v>140</v>
      </c>
      <c r="AP3" s="108" t="s">
        <v>141</v>
      </c>
      <c r="AQ3" s="108" t="s">
        <v>81</v>
      </c>
      <c r="AS3" s="10" t="s">
        <v>60</v>
      </c>
      <c r="AT3" s="10" t="s">
        <v>61</v>
      </c>
      <c r="AU3" s="10" t="s">
        <v>62</v>
      </c>
      <c r="AV3" s="10" t="s">
        <v>63</v>
      </c>
      <c r="AW3" s="10" t="s">
        <v>64</v>
      </c>
      <c r="AX3" s="10" t="s">
        <v>65</v>
      </c>
      <c r="AY3" s="10" t="s">
        <v>66</v>
      </c>
    </row>
    <row r="4" spans="2:53" ht="15" customHeight="1">
      <c r="G4" s="2"/>
      <c r="H4" s="2"/>
      <c r="I4" s="2"/>
      <c r="K4" s="76" t="s">
        <v>107</v>
      </c>
      <c r="L4" s="11"/>
      <c r="M4" s="11"/>
      <c r="N4" s="11"/>
      <c r="O4" s="11"/>
      <c r="P4" s="11"/>
      <c r="Q4" s="11"/>
      <c r="R4" s="11"/>
      <c r="S4" s="12"/>
      <c r="T4" s="9"/>
      <c r="U4" s="10"/>
      <c r="W4" s="4" t="s">
        <v>53</v>
      </c>
      <c r="X4" s="35">
        <f>MIN(W9,W14:W21,C25:C54,AM4)</f>
        <v>-35.15</v>
      </c>
      <c r="Y4" s="4" t="s">
        <v>55</v>
      </c>
      <c r="Z4" s="35">
        <f>MIN(X9,X14:X21,D25:D54,AO5)</f>
        <v>-70</v>
      </c>
      <c r="AA4" s="70" t="s">
        <v>80</v>
      </c>
      <c r="AB4" s="35">
        <f>MAX(X6,Z6)</f>
        <v>135.15</v>
      </c>
      <c r="AC4" s="3" t="s">
        <v>81</v>
      </c>
      <c r="AD4" s="71">
        <f>X4-AB5</f>
        <v>-35.15</v>
      </c>
      <c r="AE4" s="71">
        <f>Z5+AB6</f>
        <v>57.575000000000003</v>
      </c>
      <c r="AF4" s="9"/>
      <c r="AG4" s="9"/>
      <c r="AH4" s="9"/>
      <c r="AI4" s="72"/>
      <c r="AJ4" s="10"/>
      <c r="AK4" s="108" t="s">
        <v>142</v>
      </c>
      <c r="AL4" s="68">
        <f>IF(ISERROR(VALUE(I6)),SUBSTITUTE(SUBSTITUTE(SUBSTITUTE(I6,".","#"),",","."),"#",",")+0,I6)</f>
        <v>0</v>
      </c>
      <c r="AM4" s="10">
        <f>AL4-AL6/2</f>
        <v>-32</v>
      </c>
      <c r="AN4" s="108">
        <f>AL4+AL6/2</f>
        <v>32</v>
      </c>
      <c r="AO4" s="108">
        <f>AL4+AL6/2</f>
        <v>32</v>
      </c>
      <c r="AP4" s="108">
        <f>AL4-AL6/2</f>
        <v>-32</v>
      </c>
      <c r="AQ4" s="108">
        <f>AL4-AL6/2</f>
        <v>-32</v>
      </c>
      <c r="AS4" s="10" t="s">
        <v>44</v>
      </c>
      <c r="AT4" s="10">
        <v>0.38</v>
      </c>
      <c r="AU4" s="10">
        <v>0.82</v>
      </c>
      <c r="AV4" s="10">
        <v>1.69</v>
      </c>
      <c r="AW4" s="10">
        <v>3.25</v>
      </c>
      <c r="AX4" s="10">
        <v>6.63</v>
      </c>
      <c r="AY4" s="10">
        <v>2500</v>
      </c>
    </row>
    <row r="5" spans="2:53" ht="15" customHeight="1">
      <c r="B5" s="81" t="s">
        <v>0</v>
      </c>
      <c r="G5" s="2"/>
      <c r="H5" s="81" t="s">
        <v>138</v>
      </c>
      <c r="I5" s="2"/>
      <c r="K5" s="76" t="s">
        <v>110</v>
      </c>
      <c r="L5" s="11"/>
      <c r="M5" s="11"/>
      <c r="N5" s="11"/>
      <c r="O5" s="11"/>
      <c r="P5" s="11"/>
      <c r="Q5" s="11"/>
      <c r="R5" s="11"/>
      <c r="S5" s="12"/>
      <c r="T5" s="9"/>
      <c r="U5" s="10"/>
      <c r="W5" s="4" t="s">
        <v>54</v>
      </c>
      <c r="X5" s="35">
        <f>MAX(W9,W14:W21,C25:C54,AN4)</f>
        <v>100</v>
      </c>
      <c r="Y5" s="4" t="s">
        <v>56</v>
      </c>
      <c r="Z5" s="35">
        <f>MAX(X9,X14:X21,D25:D54,AN5)</f>
        <v>50</v>
      </c>
      <c r="AA5" s="4" t="s">
        <v>57</v>
      </c>
      <c r="AB5" s="35">
        <f>(AB4-X6)/2</f>
        <v>0</v>
      </c>
      <c r="AC5" s="3" t="s">
        <v>83</v>
      </c>
      <c r="AD5" s="71">
        <f>X5+AB5</f>
        <v>100</v>
      </c>
      <c r="AE5" s="71">
        <f>AE4</f>
        <v>57.575000000000003</v>
      </c>
      <c r="AF5" s="9"/>
      <c r="AG5" s="9"/>
      <c r="AH5" s="9"/>
      <c r="AI5" s="73" t="s">
        <v>25</v>
      </c>
      <c r="AJ5" s="10"/>
      <c r="AK5" s="108" t="s">
        <v>143</v>
      </c>
      <c r="AL5" s="68">
        <f t="shared" ref="AL5:AL7" si="0">IF(ISERROR(VALUE(I7)),SUBSTITUTE(SUBSTITUTE(SUBSTITUTE(I7,".","#"),",","."),"#",",")+0,I7)</f>
        <v>0</v>
      </c>
      <c r="AM5" s="10">
        <f>AL5+AL7/2</f>
        <v>50</v>
      </c>
      <c r="AN5" s="108">
        <f>AL5+AL7/2</f>
        <v>50</v>
      </c>
      <c r="AO5" s="108">
        <f>AL5-AL7/2</f>
        <v>-50</v>
      </c>
      <c r="AP5" s="108">
        <f>AL5-AL7/2</f>
        <v>-50</v>
      </c>
      <c r="AQ5" s="108">
        <f>AL5+AL7/2</f>
        <v>50</v>
      </c>
      <c r="AS5" s="10" t="s">
        <v>43</v>
      </c>
      <c r="AT5" s="10">
        <v>0.74</v>
      </c>
      <c r="AU5" s="10">
        <v>1.69</v>
      </c>
      <c r="AV5" s="10">
        <v>3.25</v>
      </c>
      <c r="AW5" s="10">
        <v>6.5</v>
      </c>
      <c r="AX5" s="10">
        <v>13</v>
      </c>
      <c r="AY5" s="10">
        <v>7500</v>
      </c>
    </row>
    <row r="6" spans="2:53" ht="15" customHeight="1">
      <c r="B6" s="61" t="s">
        <v>87</v>
      </c>
      <c r="C6" s="62"/>
      <c r="D6" s="114" t="s">
        <v>72</v>
      </c>
      <c r="E6" s="115"/>
      <c r="F6" s="116"/>
      <c r="G6" s="2"/>
      <c r="H6" s="110" t="s">
        <v>134</v>
      </c>
      <c r="I6" s="111">
        <v>0</v>
      </c>
      <c r="K6" s="76" t="s">
        <v>109</v>
      </c>
      <c r="L6" s="11"/>
      <c r="M6" s="11"/>
      <c r="N6" s="11"/>
      <c r="O6" s="11"/>
      <c r="P6" s="11"/>
      <c r="Q6" s="11"/>
      <c r="R6" s="11"/>
      <c r="S6" s="12"/>
      <c r="T6" s="9"/>
      <c r="U6" s="10"/>
      <c r="W6" s="4" t="s">
        <v>70</v>
      </c>
      <c r="X6" s="35">
        <f>X5-X4</f>
        <v>135.15</v>
      </c>
      <c r="Y6" s="4" t="s">
        <v>69</v>
      </c>
      <c r="Z6" s="35">
        <f>Z5-Z4</f>
        <v>120</v>
      </c>
      <c r="AA6" s="4" t="s">
        <v>58</v>
      </c>
      <c r="AB6" s="4">
        <f>(AB4-Z6)/2</f>
        <v>7.5750000000000028</v>
      </c>
      <c r="AC6" s="3" t="s">
        <v>82</v>
      </c>
      <c r="AD6" s="71">
        <f>AD4</f>
        <v>-35.15</v>
      </c>
      <c r="AE6" s="71">
        <f>Z4-AB6</f>
        <v>-77.575000000000003</v>
      </c>
      <c r="AF6" s="9"/>
      <c r="AG6" s="9"/>
      <c r="AH6" s="9"/>
      <c r="AI6" s="73" t="s">
        <v>27</v>
      </c>
      <c r="AJ6" s="10"/>
      <c r="AK6" s="10" t="s">
        <v>144</v>
      </c>
      <c r="AL6" s="68">
        <f t="shared" si="0"/>
        <v>64</v>
      </c>
      <c r="AM6" s="108"/>
      <c r="AN6" s="108"/>
      <c r="AO6" s="108"/>
      <c r="AP6" s="108"/>
      <c r="AS6" s="10" t="s">
        <v>45</v>
      </c>
      <c r="AT6" s="10">
        <v>1.1200000000000001</v>
      </c>
      <c r="AU6" s="10">
        <v>2.4700000000000002</v>
      </c>
      <c r="AV6" s="10">
        <v>4.9400000000000004</v>
      </c>
      <c r="AW6" s="10">
        <v>9.75</v>
      </c>
      <c r="AX6" s="10">
        <v>19.5</v>
      </c>
      <c r="AY6" s="10">
        <v>10000</v>
      </c>
    </row>
    <row r="7" spans="2:53">
      <c r="B7" s="59" t="s">
        <v>101</v>
      </c>
      <c r="C7" s="60" t="s">
        <v>29</v>
      </c>
      <c r="D7" s="60" t="s">
        <v>30</v>
      </c>
      <c r="E7" s="63" t="s">
        <v>31</v>
      </c>
      <c r="F7" s="64" t="s">
        <v>41</v>
      </c>
      <c r="G7" s="2"/>
      <c r="H7" s="110" t="s">
        <v>135</v>
      </c>
      <c r="I7" s="111">
        <v>0</v>
      </c>
      <c r="K7" s="76" t="s">
        <v>89</v>
      </c>
      <c r="L7" s="11"/>
      <c r="M7" s="11"/>
      <c r="N7" s="11"/>
      <c r="O7" s="11"/>
      <c r="P7" s="11"/>
      <c r="Q7" s="11"/>
      <c r="R7" s="11"/>
      <c r="S7" s="12"/>
      <c r="T7" s="9"/>
      <c r="U7" s="10"/>
      <c r="W7" s="65"/>
      <c r="X7" s="9"/>
      <c r="Y7" s="9"/>
      <c r="Z7" s="9"/>
      <c r="AC7" s="3" t="s">
        <v>84</v>
      </c>
      <c r="AD7" s="71">
        <f>AD5</f>
        <v>100</v>
      </c>
      <c r="AE7" s="71">
        <f>AE6</f>
        <v>-77.575000000000003</v>
      </c>
      <c r="AF7" s="9"/>
      <c r="AG7" s="9"/>
      <c r="AH7" s="9"/>
      <c r="AI7" s="74" t="s">
        <v>24</v>
      </c>
      <c r="AJ7" s="10"/>
      <c r="AK7" s="10" t="s">
        <v>145</v>
      </c>
      <c r="AL7" s="68">
        <f t="shared" si="0"/>
        <v>100</v>
      </c>
      <c r="AM7" s="108"/>
      <c r="AN7" s="108"/>
      <c r="AO7" s="108"/>
      <c r="AP7" s="108"/>
      <c r="AS7" s="10" t="s">
        <v>46</v>
      </c>
      <c r="AT7" s="10">
        <v>1.82</v>
      </c>
      <c r="AU7" s="10">
        <v>4.03</v>
      </c>
      <c r="AV7" s="10">
        <v>8.19</v>
      </c>
      <c r="AW7" s="10">
        <v>16.899999999999999</v>
      </c>
      <c r="AX7" s="10">
        <v>33.799999999999997</v>
      </c>
      <c r="AY7" s="10">
        <v>25000</v>
      </c>
    </row>
    <row r="8" spans="2:53">
      <c r="B8" s="14"/>
      <c r="C8" s="15" t="s">
        <v>36</v>
      </c>
      <c r="D8" s="15" t="s">
        <v>36</v>
      </c>
      <c r="E8" s="16" t="s">
        <v>36</v>
      </c>
      <c r="F8" s="17" t="s">
        <v>42</v>
      </c>
      <c r="G8" s="2"/>
      <c r="H8" s="110" t="s">
        <v>136</v>
      </c>
      <c r="I8" s="111">
        <v>64</v>
      </c>
      <c r="K8" s="76" t="s">
        <v>114</v>
      </c>
      <c r="L8" s="11"/>
      <c r="M8" s="11"/>
      <c r="N8" s="11"/>
      <c r="O8" s="11"/>
      <c r="P8" s="11"/>
      <c r="Q8" s="11"/>
      <c r="R8" s="11"/>
      <c r="S8" s="12"/>
      <c r="T8" s="9"/>
      <c r="U8" s="10"/>
      <c r="V8" s="9"/>
      <c r="W8" s="112" t="s">
        <v>88</v>
      </c>
      <c r="X8" s="112"/>
      <c r="Y8" s="112"/>
      <c r="Z8" s="9"/>
      <c r="AD8" s="9"/>
      <c r="AE8" s="9"/>
      <c r="AF8" s="9"/>
      <c r="AG8" s="9"/>
      <c r="AH8" s="9"/>
      <c r="AI8" s="9"/>
      <c r="AJ8" s="10"/>
      <c r="AK8" s="10"/>
      <c r="AL8" s="10"/>
      <c r="AM8" s="10"/>
      <c r="AN8" s="10"/>
      <c r="AO8" s="10"/>
      <c r="AP8" s="10"/>
      <c r="AQ8" s="9"/>
      <c r="AR8" s="9"/>
    </row>
    <row r="9" spans="2:53">
      <c r="B9" s="85" t="s">
        <v>102</v>
      </c>
      <c r="C9" s="47">
        <v>100</v>
      </c>
      <c r="D9" s="47">
        <v>-70</v>
      </c>
      <c r="E9" s="48">
        <v>1.8</v>
      </c>
      <c r="F9" s="49" t="s">
        <v>43</v>
      </c>
      <c r="G9" s="2"/>
      <c r="H9" s="110" t="s">
        <v>137</v>
      </c>
      <c r="I9" s="111">
        <v>100</v>
      </c>
      <c r="K9" s="86" t="s">
        <v>90</v>
      </c>
      <c r="L9" s="19"/>
      <c r="M9" s="19"/>
      <c r="N9" s="19"/>
      <c r="O9" s="19"/>
      <c r="P9" s="19"/>
      <c r="Q9" s="19"/>
      <c r="R9" s="19"/>
      <c r="S9" s="20"/>
      <c r="T9" s="9"/>
      <c r="U9" s="10"/>
      <c r="V9" s="9"/>
      <c r="W9" s="68">
        <f>IF(ISERROR(VALUE(C9)),SUBSTITUTE(SUBSTITUTE(SUBSTITUTE(C9,".","#"),",","."),"#",",")+0,C9)</f>
        <v>100</v>
      </c>
      <c r="X9" s="68">
        <f>IF(ISERROR(VALUE(D9)),SUBSTITUTE(SUBSTITUTE(SUBSTITUTE(D9,".","#"),",","."),"#",",")+0,D9)</f>
        <v>-70</v>
      </c>
      <c r="Y9" s="68">
        <f>IF(ISERROR(VALUE(E9)),SUBSTITUTE(SUBSTITUTE(SUBSTITUTE(E9,".","#"),",","."),"#",",")+0,E9)</f>
        <v>1.8</v>
      </c>
      <c r="Z9" s="9"/>
      <c r="AD9" s="9"/>
      <c r="AE9" s="9"/>
      <c r="AF9" s="9"/>
      <c r="AG9" s="9"/>
      <c r="AH9" s="9"/>
      <c r="AI9" s="9"/>
      <c r="AJ9" s="10"/>
      <c r="AK9" s="10"/>
      <c r="AL9" s="10"/>
      <c r="AM9" s="10"/>
      <c r="AN9" s="10"/>
      <c r="AO9" s="10"/>
      <c r="AP9" s="10"/>
      <c r="AQ9" s="9"/>
      <c r="AR9" s="9"/>
    </row>
    <row r="10" spans="2:53">
      <c r="U10" s="3"/>
      <c r="X10" s="4"/>
      <c r="Y10" s="4"/>
      <c r="Z10" s="4"/>
      <c r="AA10" s="4"/>
      <c r="AB10" s="4"/>
      <c r="AC10" s="4"/>
      <c r="AD10" s="4" t="s">
        <v>47</v>
      </c>
      <c r="AE10" s="4" t="s">
        <v>50</v>
      </c>
      <c r="AF10" s="4"/>
      <c r="AI10" s="3" t="s">
        <v>5</v>
      </c>
      <c r="AJ10" s="3"/>
      <c r="AK10" s="3"/>
      <c r="AL10" s="3"/>
      <c r="AM10" s="3"/>
      <c r="AN10" s="3"/>
      <c r="AO10" s="3"/>
      <c r="AP10" s="3"/>
      <c r="AR10" s="4"/>
      <c r="AU10" s="4"/>
      <c r="AV10" s="4"/>
      <c r="AW10" s="4"/>
      <c r="BA10" s="4"/>
    </row>
    <row r="11" spans="2:53" ht="15" customHeight="1">
      <c r="B11" s="80" t="s">
        <v>125</v>
      </c>
      <c r="K11" s="118" t="s">
        <v>3</v>
      </c>
      <c r="L11" s="118"/>
      <c r="M11" s="118"/>
      <c r="O11" s="119" t="s">
        <v>99</v>
      </c>
      <c r="P11" s="119"/>
      <c r="Q11" s="119"/>
      <c r="S11" s="106" t="s">
        <v>71</v>
      </c>
      <c r="U11" s="3"/>
      <c r="W11" s="117" t="s">
        <v>88</v>
      </c>
      <c r="X11" s="117"/>
      <c r="Y11" s="117"/>
      <c r="Z11" s="117"/>
      <c r="AA11" s="117"/>
      <c r="AB11" s="117"/>
      <c r="AC11" s="4" t="s">
        <v>77</v>
      </c>
      <c r="AD11" s="4" t="s">
        <v>48</v>
      </c>
      <c r="AE11" s="4" t="s">
        <v>51</v>
      </c>
      <c r="AF11" s="112" t="s">
        <v>3</v>
      </c>
      <c r="AG11" s="112"/>
      <c r="AH11" s="112"/>
      <c r="AI11" s="112" t="s">
        <v>11</v>
      </c>
      <c r="AJ11" s="112"/>
      <c r="AK11" s="112"/>
      <c r="AL11" s="112" t="s">
        <v>12</v>
      </c>
      <c r="AM11" s="112"/>
      <c r="AN11" s="112"/>
      <c r="AO11" s="3"/>
      <c r="AP11" s="3"/>
      <c r="AR11" s="4"/>
      <c r="AS11" s="112" t="s">
        <v>78</v>
      </c>
      <c r="AT11" s="112"/>
      <c r="AU11" s="112"/>
      <c r="AV11" s="112"/>
      <c r="AW11" s="112" t="s">
        <v>79</v>
      </c>
      <c r="AX11" s="112"/>
      <c r="AY11" s="112"/>
      <c r="AZ11" s="112"/>
      <c r="BA11" s="4"/>
    </row>
    <row r="12" spans="2:53" ht="15" customHeight="1">
      <c r="B12" s="21" t="s">
        <v>32</v>
      </c>
      <c r="C12" s="22" t="s">
        <v>29</v>
      </c>
      <c r="D12" s="22" t="s">
        <v>30</v>
      </c>
      <c r="E12" s="22" t="s">
        <v>31</v>
      </c>
      <c r="F12" s="22" t="s">
        <v>23</v>
      </c>
      <c r="G12" s="22" t="s">
        <v>34</v>
      </c>
      <c r="H12" s="22" t="s">
        <v>35</v>
      </c>
      <c r="I12" s="22" t="s">
        <v>24</v>
      </c>
      <c r="K12" s="23" t="s">
        <v>92</v>
      </c>
      <c r="L12" s="24" t="s">
        <v>93</v>
      </c>
      <c r="M12" s="24" t="s">
        <v>94</v>
      </c>
      <c r="O12" s="104" t="s">
        <v>47</v>
      </c>
      <c r="P12" s="13" t="s">
        <v>37</v>
      </c>
      <c r="Q12" s="56" t="s">
        <v>39</v>
      </c>
      <c r="R12" s="25"/>
      <c r="S12" s="56" t="s">
        <v>71</v>
      </c>
      <c r="T12" s="25"/>
      <c r="U12" s="25"/>
      <c r="V12" s="25"/>
      <c r="W12" s="66" t="s">
        <v>25</v>
      </c>
      <c r="X12" s="26" t="s">
        <v>27</v>
      </c>
      <c r="Y12" s="26" t="s">
        <v>73</v>
      </c>
      <c r="Z12" s="26" t="s">
        <v>74</v>
      </c>
      <c r="AA12" s="26" t="s">
        <v>75</v>
      </c>
      <c r="AB12" s="26" t="s">
        <v>76</v>
      </c>
      <c r="AC12" s="4" t="s">
        <v>23</v>
      </c>
      <c r="AD12" s="26" t="s">
        <v>49</v>
      </c>
      <c r="AE12" s="26" t="s">
        <v>52</v>
      </c>
      <c r="AF12" s="4" t="s">
        <v>1</v>
      </c>
      <c r="AG12" s="4" t="s">
        <v>2</v>
      </c>
      <c r="AH12" s="4" t="s">
        <v>4</v>
      </c>
      <c r="AI12" s="4" t="s">
        <v>13</v>
      </c>
      <c r="AJ12" s="4" t="s">
        <v>14</v>
      </c>
      <c r="AK12" s="4" t="s">
        <v>18</v>
      </c>
      <c r="AL12" s="4" t="s">
        <v>16</v>
      </c>
      <c r="AM12" s="4" t="s">
        <v>17</v>
      </c>
      <c r="AN12" s="4" t="s">
        <v>15</v>
      </c>
      <c r="AO12" s="3" t="s">
        <v>8</v>
      </c>
      <c r="AP12" s="88" t="s">
        <v>9</v>
      </c>
      <c r="AQ12" s="26" t="s">
        <v>37</v>
      </c>
      <c r="AR12" s="4" t="s">
        <v>28</v>
      </c>
      <c r="AS12" s="4" t="s">
        <v>44</v>
      </c>
      <c r="AT12" s="4" t="s">
        <v>43</v>
      </c>
      <c r="AU12" s="4" t="s">
        <v>45</v>
      </c>
      <c r="AV12" s="4" t="s">
        <v>46</v>
      </c>
      <c r="AW12" s="4" t="s">
        <v>44</v>
      </c>
      <c r="AX12" s="4" t="s">
        <v>43</v>
      </c>
      <c r="AY12" s="4" t="s">
        <v>45</v>
      </c>
      <c r="AZ12" s="4" t="s">
        <v>46</v>
      </c>
      <c r="BA12" s="4" t="s">
        <v>39</v>
      </c>
    </row>
    <row r="13" spans="2:53" ht="15" customHeight="1">
      <c r="B13" s="28"/>
      <c r="C13" s="29" t="s">
        <v>36</v>
      </c>
      <c r="D13" s="29" t="s">
        <v>36</v>
      </c>
      <c r="E13" s="29" t="s">
        <v>36</v>
      </c>
      <c r="F13" s="29" t="s">
        <v>33</v>
      </c>
      <c r="G13" s="29" t="s">
        <v>33</v>
      </c>
      <c r="H13" s="29" t="s">
        <v>95</v>
      </c>
      <c r="I13" s="29" t="s">
        <v>68</v>
      </c>
      <c r="K13" s="30" t="s">
        <v>36</v>
      </c>
      <c r="L13" s="31" t="s">
        <v>36</v>
      </c>
      <c r="M13" s="31" t="s">
        <v>36</v>
      </c>
      <c r="O13" s="105" t="s">
        <v>36</v>
      </c>
      <c r="P13" s="16" t="s">
        <v>38</v>
      </c>
      <c r="Q13" s="90" t="s">
        <v>40</v>
      </c>
      <c r="R13" s="25"/>
      <c r="S13" s="55" t="s">
        <v>40</v>
      </c>
      <c r="T13" s="25"/>
      <c r="U13" s="25"/>
      <c r="V13" s="25"/>
      <c r="X13" s="26"/>
      <c r="Y13" s="26"/>
      <c r="Z13" s="26"/>
      <c r="AA13" s="26"/>
      <c r="AB13" s="26"/>
      <c r="AC13" s="4"/>
      <c r="AD13" s="26"/>
      <c r="AE13" s="26"/>
      <c r="AF13" s="4"/>
      <c r="AH13" s="4"/>
      <c r="AI13" s="4"/>
      <c r="AO13" s="3"/>
      <c r="AP13" s="3"/>
      <c r="AQ13" s="27"/>
      <c r="AR13" s="4"/>
      <c r="AT13" s="4"/>
      <c r="AU13" s="4"/>
      <c r="AV13" s="4"/>
      <c r="BA13" s="4"/>
    </row>
    <row r="14" spans="2:53" ht="15" customHeight="1">
      <c r="B14" s="18">
        <f>IF(AR14,COUNTIF(AR$14:AR14,TRUE),"")</f>
        <v>1</v>
      </c>
      <c r="C14" s="50">
        <v>-35.15</v>
      </c>
      <c r="D14" s="67">
        <v>35.1</v>
      </c>
      <c r="E14" s="50">
        <v>15.4</v>
      </c>
      <c r="F14" s="51">
        <v>-26</v>
      </c>
      <c r="G14" s="51">
        <v>62</v>
      </c>
      <c r="H14" s="53">
        <v>2.5000000000000001E-2</v>
      </c>
      <c r="I14" s="54" t="s">
        <v>24</v>
      </c>
      <c r="K14" s="43">
        <f t="shared" ref="K14:K21" si="1">IF(AR14,AF14,"")</f>
        <v>-9.1180594535333803</v>
      </c>
      <c r="L14" s="43">
        <f t="shared" ref="L14:L21" si="2">IF(AR14,AG14,"")</f>
        <v>22.403374251879235</v>
      </c>
      <c r="M14" s="44">
        <f t="shared" ref="M14:M21" si="3">IF(AR14,AH14,"")</f>
        <v>0</v>
      </c>
      <c r="O14" s="103">
        <f t="shared" ref="O14:O21" si="4">IF(AR14,AD14,"")</f>
        <v>171.74542934238454</v>
      </c>
      <c r="P14" s="32">
        <f>IF(AR14,IF(AQ14&lt;=0,"onzichtbaar",AQ14),"")</f>
        <v>2.2463204975372634E-2</v>
      </c>
      <c r="Q14" s="99"/>
      <c r="R14" s="34"/>
      <c r="S14" s="95">
        <v>390</v>
      </c>
      <c r="T14" s="34"/>
      <c r="U14" s="34"/>
      <c r="V14" s="34"/>
      <c r="W14" s="68">
        <f>IF(ISERROR(VALUE(C14)),SUBSTITUTE(SUBSTITUTE(SUBSTITUTE(C14,".","#"),",","."),"#",",")+0,C14)</f>
        <v>-35.15</v>
      </c>
      <c r="X14" s="68">
        <f t="shared" ref="X14:AB21" si="5">IF(ISERROR(VALUE(D14)),SUBSTITUTE(SUBSTITUTE(SUBSTITUTE(D14,".","#"),",","."),"#",",")+0,D14)</f>
        <v>35.1</v>
      </c>
      <c r="Y14" s="68">
        <f t="shared" si="5"/>
        <v>15.4</v>
      </c>
      <c r="Z14" s="68">
        <f t="shared" si="5"/>
        <v>-26</v>
      </c>
      <c r="AA14" s="68">
        <f t="shared" si="5"/>
        <v>62</v>
      </c>
      <c r="AB14" s="68">
        <f t="shared" si="5"/>
        <v>2.5000000000000001E-2</v>
      </c>
      <c r="AC14" s="69">
        <f t="shared" ref="AC14:AC21" si="6">IF(Z14&gt;180,Z14-360,IF(Z14&lt;-180,Z14+360,Z14))</f>
        <v>-26</v>
      </c>
      <c r="AD14" s="35">
        <f t="shared" ref="AD14:AD21" si="7">SQRT(($W$9-$W14)^2+($X$9-$X14)^2+($Y$9-$Y14)^2)</f>
        <v>171.74542934238454</v>
      </c>
      <c r="AE14" s="4">
        <f t="shared" ref="AE14:AE21" si="8">IF(AA14&gt;=90,NA(),Y14*TAN(RADIANS(AA14)))</f>
        <v>28.963187566333509</v>
      </c>
      <c r="AF14" s="36">
        <f t="shared" ref="AF14:AF21" si="9">IF(AA14&gt;=90,NA(),COS(RADIANS(Z14))*AE14+W14)</f>
        <v>-9.1180594535333803</v>
      </c>
      <c r="AG14" s="36">
        <f t="shared" ref="AG14:AG21" si="10">IF(AA14&gt;=90,NA(),SIN(RADIANS(Z14))*AE14+X14)</f>
        <v>22.403374251879235</v>
      </c>
      <c r="AH14" s="4">
        <f t="shared" ref="AH14:AH21" si="11">IF(AA14&gt;=90,NA(),0)</f>
        <v>0</v>
      </c>
      <c r="AI14" s="35">
        <f t="shared" ref="AI14:AI21" si="12">COS(RADIANS(Z14))*COS(RADIANS(AA14-90))</f>
        <v>0.79358803965578451</v>
      </c>
      <c r="AJ14" s="35">
        <f t="shared" ref="AJ14:AJ21" si="13">SIN(RADIANS(Z14))*COS(RADIANS(AA14-90))</f>
        <v>-0.38705874883622321</v>
      </c>
      <c r="AK14" s="35">
        <f t="shared" ref="AK14:AK21" si="14">SIN(RADIANS(AA14-90))</f>
        <v>-0.46947156278589081</v>
      </c>
      <c r="AL14" s="35">
        <f t="shared" ref="AL14:AN21" si="15">W$9-W14</f>
        <v>135.15</v>
      </c>
      <c r="AM14" s="35">
        <f t="shared" si="15"/>
        <v>-105.1</v>
      </c>
      <c r="AN14" s="35">
        <f t="shared" si="15"/>
        <v>-13.6</v>
      </c>
      <c r="AO14" s="36">
        <f>(AI14*AL14+AJ14*AM14+AK14*AN14)/(SQRT(AI14^2+AJ14^2+AK14^2)*SQRT(AL14^2+AM14^2+AN14^2))</f>
        <v>0.89852819901490533</v>
      </c>
      <c r="AP14" s="36">
        <f>DEGREES(ACOS(AO14))</f>
        <v>26.034725073820233</v>
      </c>
      <c r="AQ14" s="36">
        <f t="shared" ref="AQ14:AQ21" si="16">AB14*AO14</f>
        <v>2.2463204975372634E-2</v>
      </c>
      <c r="AR14" s="4" t="b">
        <f>IF(SUBSTITUTE(C14," ","")="",FALSE,TRUE)</f>
        <v>1</v>
      </c>
      <c r="AS14" s="37">
        <f t="shared" ref="AS14:AS21" si="17">IF(P14&lt;=0.002,AT$4*O14,IF(P14&lt;=0.01,AU$4*O14,IF(P14&lt;=0.03,AV$4*O14,IF(P14&lt;=0.13,AW$4*O14,IF(P14&lt;=0.5,AX$4*O14,AY$4)))))</f>
        <v>290.24977558862986</v>
      </c>
      <c r="AT14" s="37">
        <f t="shared" ref="AT14:AT21" si="18">IF(P14&lt;=0.002,AT$5*O14,IF(P14&lt;=0.01,AU$5*O14,IF(P14&lt;=0.03,AV$5*O14,IF(P14&lt;=0.13,AW$5*O14,IF(P14&lt;=0.5,AX$5*O14,AY$5)))))</f>
        <v>558.17264536274979</v>
      </c>
      <c r="AU14" s="37">
        <f t="shared" ref="AU14:AU21" si="19">IF(P14&lt;=0.002,AT$6*O14,IF(P14&lt;=0.01,AU$6*O14,IF(P14&lt;=0.03,AV$6*O14,IF(P14&lt;=0.13,AW$6*O14,IF(P14&lt;=0.5,AX$6*O14,AY$6)))))</f>
        <v>848.42242095137965</v>
      </c>
      <c r="AV14" s="37">
        <f t="shared" ref="AV14:AV21" si="20">IF(P14&lt;=0.002,AT$7*O14,IF(P14&lt;=0.01,AU$7*O14,IF(P14&lt;=0.03,AV$7*O14,IF(P14&lt;=0.13,AW$7*O14,IF(P14&lt;=0.5,AX$7*O14,AY$7)))))</f>
        <v>1406.5950663141293</v>
      </c>
      <c r="AW14" s="37">
        <f>IF(AS14&lt;500,500,IF(AS14&gt;2500,2500,AS14))</f>
        <v>500</v>
      </c>
      <c r="AX14" s="37">
        <f>IF(AT14&lt;2500,2500,IF(AT14&gt;7500,7500,AT14))</f>
        <v>2500</v>
      </c>
      <c r="AY14" s="37">
        <f>IF(AU14&lt;2500,2500,IF(AU14&gt;10000,10000,AU14))</f>
        <v>2500</v>
      </c>
      <c r="AZ14" s="37">
        <f>IF(AV14&lt;5000,5000,IF(AV14&gt;25000,25000,AV14))</f>
        <v>5000</v>
      </c>
      <c r="BA14" s="4">
        <f t="shared" ref="BA14:BA21" si="21">IF(F$9="E1",AW14,IF(F$9="E2",AX14,IF(F$9="E3",AY14,IF(F$9="E4",AZ14,0))))</f>
        <v>2500</v>
      </c>
    </row>
    <row r="15" spans="2:53">
      <c r="B15" s="18">
        <f>IF(AR15,COUNTIF(AR$14:AR15,TRUE),"")</f>
        <v>2</v>
      </c>
      <c r="C15" s="50">
        <v>-35.049999999999997</v>
      </c>
      <c r="D15" s="67">
        <v>35.1</v>
      </c>
      <c r="E15" s="50">
        <v>15.3</v>
      </c>
      <c r="F15" s="52">
        <v>-23</v>
      </c>
      <c r="G15" s="52">
        <v>62</v>
      </c>
      <c r="H15" s="53">
        <v>2.5000000000000001E-2</v>
      </c>
      <c r="I15" s="54" t="s">
        <v>24</v>
      </c>
      <c r="K15" s="43">
        <f t="shared" si="1"/>
        <v>-8.5623670576734021</v>
      </c>
      <c r="L15" s="43">
        <f t="shared" si="2"/>
        <v>23.856666874978448</v>
      </c>
      <c r="M15" s="44">
        <f t="shared" si="3"/>
        <v>0</v>
      </c>
      <c r="O15" s="43">
        <f t="shared" si="4"/>
        <v>171.65885500025917</v>
      </c>
      <c r="P15" s="32">
        <f t="shared" ref="P15:P22" si="22">IF(AR15,IF(AQ15&lt;=0,"onzichtbaar",AQ15),"")</f>
        <v>2.218932406441242E-2</v>
      </c>
      <c r="Q15" s="100"/>
      <c r="R15" s="34"/>
      <c r="S15" s="95">
        <v>395</v>
      </c>
      <c r="T15" s="34"/>
      <c r="U15" s="34"/>
      <c r="V15" s="34"/>
      <c r="W15" s="68">
        <f t="shared" ref="W15:W21" si="23">IF(ISERROR(VALUE(C15)),SUBSTITUTE(SUBSTITUTE(SUBSTITUTE(C15,".","#"),",","."),"#",",")+0,C15)</f>
        <v>-35.049999999999997</v>
      </c>
      <c r="X15" s="68">
        <f t="shared" si="5"/>
        <v>35.1</v>
      </c>
      <c r="Y15" s="68">
        <f t="shared" si="5"/>
        <v>15.3</v>
      </c>
      <c r="Z15" s="68">
        <f t="shared" si="5"/>
        <v>-23</v>
      </c>
      <c r="AA15" s="68">
        <f t="shared" si="5"/>
        <v>62</v>
      </c>
      <c r="AB15" s="68">
        <f t="shared" si="5"/>
        <v>2.5000000000000001E-2</v>
      </c>
      <c r="AC15" s="69">
        <f t="shared" si="6"/>
        <v>-23</v>
      </c>
      <c r="AD15" s="35">
        <f t="shared" si="7"/>
        <v>171.65885500025917</v>
      </c>
      <c r="AE15" s="4">
        <f t="shared" si="8"/>
        <v>28.775114919798877</v>
      </c>
      <c r="AF15" s="36">
        <f t="shared" si="9"/>
        <v>-8.5623670576734021</v>
      </c>
      <c r="AG15" s="36">
        <f t="shared" si="10"/>
        <v>23.856666874978448</v>
      </c>
      <c r="AH15" s="4">
        <f t="shared" si="11"/>
        <v>0</v>
      </c>
      <c r="AI15" s="35">
        <f t="shared" si="12"/>
        <v>0.81275754457079152</v>
      </c>
      <c r="AJ15" s="35">
        <f t="shared" si="13"/>
        <v>-0.34499510935465638</v>
      </c>
      <c r="AK15" s="35">
        <f t="shared" si="14"/>
        <v>-0.46947156278589081</v>
      </c>
      <c r="AL15" s="35">
        <f t="shared" si="15"/>
        <v>135.05000000000001</v>
      </c>
      <c r="AM15" s="35">
        <f t="shared" si="15"/>
        <v>-105.1</v>
      </c>
      <c r="AN15" s="35">
        <f t="shared" si="15"/>
        <v>-13.5</v>
      </c>
      <c r="AO15" s="36">
        <f t="shared" ref="AO15:AO20" si="24">(AI15*AL15+AJ15*AM15+AK15*AN15)/(SQRT(AI15^2+AJ15^2+AK15^2)*SQRT(AL15^2+AM15^2+AN15^2))</f>
        <v>0.88757296257649676</v>
      </c>
      <c r="AP15" s="36">
        <f t="shared" ref="AP15:AP20" si="25">DEGREES(ACOS(AO15))</f>
        <v>27.430166766734057</v>
      </c>
      <c r="AQ15" s="36">
        <f t="shared" si="16"/>
        <v>2.218932406441242E-2</v>
      </c>
      <c r="AR15" s="4" t="b">
        <f t="shared" ref="AR15:AR21" si="26">IF(SUBSTITUTE(C15," ","")="",FALSE,TRUE)</f>
        <v>1</v>
      </c>
      <c r="AS15" s="37">
        <f t="shared" si="17"/>
        <v>290.10346495043797</v>
      </c>
      <c r="AT15" s="37">
        <f t="shared" si="18"/>
        <v>557.89127875084228</v>
      </c>
      <c r="AU15" s="37">
        <f t="shared" si="19"/>
        <v>847.9947437012803</v>
      </c>
      <c r="AV15" s="37">
        <f t="shared" si="20"/>
        <v>1405.8860224521225</v>
      </c>
      <c r="AW15" s="37">
        <f t="shared" ref="AW15:AW21" si="27">IF(AS15&lt;500,500,IF(AS15&gt;2500,2500,AS15))</f>
        <v>500</v>
      </c>
      <c r="AX15" s="37">
        <f t="shared" ref="AX15:AX21" si="28">IF(AT15&lt;2500,2500,IF(AT15&gt;7500,7500,AT15))</f>
        <v>2500</v>
      </c>
      <c r="AY15" s="37">
        <f t="shared" ref="AY15:AY21" si="29">IF(AU15&lt;2500,2500,IF(AU15&gt;10000,10000,AU15))</f>
        <v>2500</v>
      </c>
      <c r="AZ15" s="37">
        <f t="shared" ref="AZ15:AZ21" si="30">IF(AV15&lt;5000,5000,IF(AV15&gt;25000,25000,AV15))</f>
        <v>5000</v>
      </c>
      <c r="BA15" s="4">
        <f t="shared" si="21"/>
        <v>2500</v>
      </c>
    </row>
    <row r="16" spans="2:53">
      <c r="B16" s="18">
        <f>IF(AR16,COUNTIF(AR$14:AR16,TRUE),"")</f>
        <v>3</v>
      </c>
      <c r="C16" s="50">
        <v>-34.950000000000003</v>
      </c>
      <c r="D16" s="67">
        <v>35.1</v>
      </c>
      <c r="E16" s="50">
        <v>15.2</v>
      </c>
      <c r="F16" s="52">
        <v>-20</v>
      </c>
      <c r="G16" s="52">
        <v>62</v>
      </c>
      <c r="H16" s="53">
        <v>2.5000000000000001E-2</v>
      </c>
      <c r="I16" s="54" t="s">
        <v>24</v>
      </c>
      <c r="K16" s="43">
        <f t="shared" si="1"/>
        <v>-8.0869673257187742</v>
      </c>
      <c r="L16" s="43">
        <f t="shared" si="2"/>
        <v>25.322655704441217</v>
      </c>
      <c r="M16" s="44">
        <f t="shared" si="3"/>
        <v>0</v>
      </c>
      <c r="O16" s="43">
        <f t="shared" si="4"/>
        <v>171.57235354217181</v>
      </c>
      <c r="P16" s="32">
        <f t="shared" si="22"/>
        <v>2.1856312449291135E-2</v>
      </c>
      <c r="Q16" s="100"/>
      <c r="R16" s="34"/>
      <c r="S16" s="95">
        <v>400</v>
      </c>
      <c r="T16" s="34"/>
      <c r="U16" s="34"/>
      <c r="V16" s="34"/>
      <c r="W16" s="68">
        <f t="shared" si="23"/>
        <v>-34.950000000000003</v>
      </c>
      <c r="X16" s="68">
        <f t="shared" si="5"/>
        <v>35.1</v>
      </c>
      <c r="Y16" s="68">
        <f t="shared" si="5"/>
        <v>15.2</v>
      </c>
      <c r="Z16" s="68">
        <f t="shared" si="5"/>
        <v>-20</v>
      </c>
      <c r="AA16" s="68">
        <f t="shared" si="5"/>
        <v>62</v>
      </c>
      <c r="AB16" s="68">
        <f t="shared" si="5"/>
        <v>2.5000000000000001E-2</v>
      </c>
      <c r="AC16" s="69">
        <f t="shared" si="6"/>
        <v>-20</v>
      </c>
      <c r="AD16" s="35">
        <f t="shared" si="7"/>
        <v>171.57235354217181</v>
      </c>
      <c r="AE16" s="4">
        <f t="shared" si="8"/>
        <v>28.587042273264242</v>
      </c>
      <c r="AF16" s="36">
        <f t="shared" si="9"/>
        <v>-8.0869673257187742</v>
      </c>
      <c r="AG16" s="36">
        <f t="shared" si="10"/>
        <v>25.322655704441217</v>
      </c>
      <c r="AH16" s="4">
        <f t="shared" si="11"/>
        <v>0</v>
      </c>
      <c r="AI16" s="35">
        <f t="shared" si="12"/>
        <v>0.8296993375502143</v>
      </c>
      <c r="AJ16" s="35">
        <f t="shared" si="13"/>
        <v>-0.30198586225866442</v>
      </c>
      <c r="AK16" s="35">
        <f t="shared" si="14"/>
        <v>-0.46947156278589081</v>
      </c>
      <c r="AL16" s="35">
        <f t="shared" si="15"/>
        <v>134.94999999999999</v>
      </c>
      <c r="AM16" s="35">
        <f t="shared" si="15"/>
        <v>-105.1</v>
      </c>
      <c r="AN16" s="35">
        <f t="shared" si="15"/>
        <v>-13.399999999999999</v>
      </c>
      <c r="AO16" s="36">
        <f t="shared" si="24"/>
        <v>0.87425249797164528</v>
      </c>
      <c r="AP16" s="36">
        <f t="shared" si="25"/>
        <v>29.04336791520538</v>
      </c>
      <c r="AQ16" s="36">
        <f t="shared" si="16"/>
        <v>2.1856312449291135E-2</v>
      </c>
      <c r="AR16" s="4" t="b">
        <f t="shared" si="26"/>
        <v>1</v>
      </c>
      <c r="AS16" s="37">
        <f t="shared" si="17"/>
        <v>289.95727748627036</v>
      </c>
      <c r="AT16" s="37">
        <f t="shared" si="18"/>
        <v>557.6101490120584</v>
      </c>
      <c r="AU16" s="37">
        <f t="shared" si="19"/>
        <v>847.56742649832881</v>
      </c>
      <c r="AV16" s="37">
        <f t="shared" si="20"/>
        <v>1405.177575510387</v>
      </c>
      <c r="AW16" s="37">
        <f t="shared" si="27"/>
        <v>500</v>
      </c>
      <c r="AX16" s="37">
        <f t="shared" si="28"/>
        <v>2500</v>
      </c>
      <c r="AY16" s="37">
        <f t="shared" si="29"/>
        <v>2500</v>
      </c>
      <c r="AZ16" s="37">
        <f t="shared" si="30"/>
        <v>5000</v>
      </c>
      <c r="BA16" s="4">
        <f t="shared" si="21"/>
        <v>2500</v>
      </c>
    </row>
    <row r="17" spans="2:53">
      <c r="B17" s="18">
        <f>IF(AR17,COUNTIF(AR$14:AR17,TRUE),"")</f>
        <v>4</v>
      </c>
      <c r="C17" s="50">
        <v>-34.85</v>
      </c>
      <c r="D17" s="67">
        <v>35.1</v>
      </c>
      <c r="E17" s="50">
        <v>15.1</v>
      </c>
      <c r="F17" s="52">
        <v>-17</v>
      </c>
      <c r="G17" s="52">
        <v>62</v>
      </c>
      <c r="H17" s="53">
        <v>2.5000000000000001E-2</v>
      </c>
      <c r="I17" s="54" t="s">
        <v>24</v>
      </c>
      <c r="K17" s="43">
        <f t="shared" si="1"/>
        <v>-7.6919302815086859</v>
      </c>
      <c r="L17" s="43">
        <f t="shared" si="2"/>
        <v>26.79694483786384</v>
      </c>
      <c r="M17" s="44">
        <f t="shared" si="3"/>
        <v>0</v>
      </c>
      <c r="O17" s="43">
        <f t="shared" si="4"/>
        <v>171.48592507841568</v>
      </c>
      <c r="P17" s="32">
        <f t="shared" si="22"/>
        <v>2.1465071831332769E-2</v>
      </c>
      <c r="Q17" s="100"/>
      <c r="R17" s="34"/>
      <c r="S17" s="95">
        <v>395</v>
      </c>
      <c r="T17" s="34"/>
      <c r="U17" s="34"/>
      <c r="V17" s="34"/>
      <c r="W17" s="68">
        <f t="shared" si="23"/>
        <v>-34.85</v>
      </c>
      <c r="X17" s="68">
        <f t="shared" si="5"/>
        <v>35.1</v>
      </c>
      <c r="Y17" s="68">
        <f t="shared" si="5"/>
        <v>15.1</v>
      </c>
      <c r="Z17" s="68">
        <f t="shared" si="5"/>
        <v>-17</v>
      </c>
      <c r="AA17" s="68">
        <f t="shared" si="5"/>
        <v>62</v>
      </c>
      <c r="AB17" s="68">
        <f t="shared" si="5"/>
        <v>2.5000000000000001E-2</v>
      </c>
      <c r="AC17" s="69">
        <f t="shared" si="6"/>
        <v>-17</v>
      </c>
      <c r="AD17" s="35">
        <f t="shared" si="7"/>
        <v>171.48592507841568</v>
      </c>
      <c r="AE17" s="4">
        <f t="shared" si="8"/>
        <v>28.39896962672961</v>
      </c>
      <c r="AF17" s="36">
        <f t="shared" si="9"/>
        <v>-7.6919302815086859</v>
      </c>
      <c r="AG17" s="36">
        <f t="shared" si="10"/>
        <v>26.79694483786384</v>
      </c>
      <c r="AH17" s="4">
        <f t="shared" si="11"/>
        <v>0</v>
      </c>
      <c r="AI17" s="35">
        <f t="shared" si="12"/>
        <v>0.84436698231710572</v>
      </c>
      <c r="AJ17" s="35">
        <f t="shared" si="13"/>
        <v>-0.25814889290500143</v>
      </c>
      <c r="AK17" s="35">
        <f t="shared" si="14"/>
        <v>-0.46947156278589081</v>
      </c>
      <c r="AL17" s="35">
        <f t="shared" si="15"/>
        <v>134.85</v>
      </c>
      <c r="AM17" s="35">
        <f t="shared" si="15"/>
        <v>-105.1</v>
      </c>
      <c r="AN17" s="35">
        <f t="shared" si="15"/>
        <v>-13.299999999999999</v>
      </c>
      <c r="AO17" s="36">
        <f t="shared" si="24"/>
        <v>0.85860287325331075</v>
      </c>
      <c r="AP17" s="36">
        <f t="shared" si="25"/>
        <v>30.839926349410881</v>
      </c>
      <c r="AQ17" s="36">
        <f t="shared" si="16"/>
        <v>2.1465071831332769E-2</v>
      </c>
      <c r="AR17" s="4" t="b">
        <f t="shared" si="26"/>
        <v>1</v>
      </c>
      <c r="AS17" s="37">
        <f t="shared" si="17"/>
        <v>289.81121338252251</v>
      </c>
      <c r="AT17" s="37">
        <f t="shared" si="18"/>
        <v>557.32925650485095</v>
      </c>
      <c r="AU17" s="37">
        <f t="shared" si="19"/>
        <v>847.14046988737346</v>
      </c>
      <c r="AV17" s="37">
        <f t="shared" si="20"/>
        <v>1404.4697263922244</v>
      </c>
      <c r="AW17" s="37">
        <f t="shared" si="27"/>
        <v>500</v>
      </c>
      <c r="AX17" s="37">
        <f t="shared" si="28"/>
        <v>2500</v>
      </c>
      <c r="AY17" s="37">
        <f t="shared" si="29"/>
        <v>2500</v>
      </c>
      <c r="AZ17" s="37">
        <f t="shared" si="30"/>
        <v>5000</v>
      </c>
      <c r="BA17" s="4">
        <f t="shared" si="21"/>
        <v>2500</v>
      </c>
    </row>
    <row r="18" spans="2:53">
      <c r="B18" s="18">
        <f>IF(AR18,COUNTIF(AR$14:AR18,TRUE),"")</f>
        <v>5</v>
      </c>
      <c r="C18" s="50">
        <v>-35.15</v>
      </c>
      <c r="D18" s="50">
        <v>34.9</v>
      </c>
      <c r="E18" s="50">
        <v>15.4</v>
      </c>
      <c r="F18" s="52">
        <v>-14</v>
      </c>
      <c r="G18" s="52">
        <v>62</v>
      </c>
      <c r="H18" s="53">
        <v>2.5000000000000001E-2</v>
      </c>
      <c r="I18" s="54" t="s">
        <v>24</v>
      </c>
      <c r="K18" s="43">
        <f t="shared" si="1"/>
        <v>-7.0471428850565161</v>
      </c>
      <c r="L18" s="43">
        <f t="shared" si="2"/>
        <v>27.893170761343868</v>
      </c>
      <c r="M18" s="44">
        <f t="shared" si="3"/>
        <v>0</v>
      </c>
      <c r="O18" s="43">
        <f t="shared" si="4"/>
        <v>171.62311178859332</v>
      </c>
      <c r="P18" s="32">
        <f t="shared" si="22"/>
        <v>2.1060341744070423E-2</v>
      </c>
      <c r="Q18" s="100"/>
      <c r="R18" s="34"/>
      <c r="S18" s="95">
        <v>390</v>
      </c>
      <c r="T18" s="34"/>
      <c r="U18" s="34"/>
      <c r="V18" s="34"/>
      <c r="W18" s="68">
        <f t="shared" si="23"/>
        <v>-35.15</v>
      </c>
      <c r="X18" s="68">
        <f t="shared" si="5"/>
        <v>34.9</v>
      </c>
      <c r="Y18" s="68">
        <f t="shared" si="5"/>
        <v>15.4</v>
      </c>
      <c r="Z18" s="68">
        <f t="shared" si="5"/>
        <v>-14</v>
      </c>
      <c r="AA18" s="68">
        <f t="shared" si="5"/>
        <v>62</v>
      </c>
      <c r="AB18" s="68">
        <f t="shared" si="5"/>
        <v>2.5000000000000001E-2</v>
      </c>
      <c r="AC18" s="69">
        <f t="shared" si="6"/>
        <v>-14</v>
      </c>
      <c r="AD18" s="35">
        <f t="shared" si="7"/>
        <v>171.62311178859332</v>
      </c>
      <c r="AE18" s="4">
        <f t="shared" si="8"/>
        <v>28.963187566333509</v>
      </c>
      <c r="AF18" s="36">
        <f t="shared" si="9"/>
        <v>-7.0471428850565161</v>
      </c>
      <c r="AG18" s="36">
        <f t="shared" si="10"/>
        <v>27.893170761343868</v>
      </c>
      <c r="AH18" s="4">
        <f t="shared" si="11"/>
        <v>0</v>
      </c>
      <c r="AI18" s="35">
        <f t="shared" si="12"/>
        <v>0.85672027587669541</v>
      </c>
      <c r="AJ18" s="35">
        <f t="shared" si="13"/>
        <v>-0.21360435537959527</v>
      </c>
      <c r="AK18" s="35">
        <f t="shared" si="14"/>
        <v>-0.46947156278589081</v>
      </c>
      <c r="AL18" s="35">
        <f t="shared" si="15"/>
        <v>135.15</v>
      </c>
      <c r="AM18" s="35">
        <f t="shared" si="15"/>
        <v>-104.9</v>
      </c>
      <c r="AN18" s="35">
        <f t="shared" si="15"/>
        <v>-13.6</v>
      </c>
      <c r="AO18" s="36">
        <f t="shared" si="24"/>
        <v>0.84241366976281684</v>
      </c>
      <c r="AP18" s="36">
        <f t="shared" si="25"/>
        <v>32.604118231780461</v>
      </c>
      <c r="AQ18" s="36">
        <f t="shared" si="16"/>
        <v>2.1060341744070423E-2</v>
      </c>
      <c r="AR18" s="4" t="b">
        <f t="shared" si="26"/>
        <v>1</v>
      </c>
      <c r="AS18" s="37">
        <f t="shared" si="17"/>
        <v>290.04305892272271</v>
      </c>
      <c r="AT18" s="37">
        <f t="shared" si="18"/>
        <v>557.77511331292828</v>
      </c>
      <c r="AU18" s="37">
        <f t="shared" si="19"/>
        <v>847.8181722356511</v>
      </c>
      <c r="AV18" s="37">
        <f t="shared" si="20"/>
        <v>1405.5932855485792</v>
      </c>
      <c r="AW18" s="37">
        <f t="shared" si="27"/>
        <v>500</v>
      </c>
      <c r="AX18" s="37">
        <f t="shared" si="28"/>
        <v>2500</v>
      </c>
      <c r="AY18" s="37">
        <f t="shared" si="29"/>
        <v>2500</v>
      </c>
      <c r="AZ18" s="37">
        <f t="shared" si="30"/>
        <v>5000</v>
      </c>
      <c r="BA18" s="4">
        <f t="shared" si="21"/>
        <v>2500</v>
      </c>
    </row>
    <row r="19" spans="2:53">
      <c r="B19" s="18">
        <f>IF(AR19,COUNTIF(AR$14:AR19,TRUE),"")</f>
        <v>6</v>
      </c>
      <c r="C19" s="50">
        <v>-35.049999999999997</v>
      </c>
      <c r="D19" s="50">
        <v>34.9</v>
      </c>
      <c r="E19" s="50">
        <v>15.3</v>
      </c>
      <c r="F19" s="52">
        <v>-11</v>
      </c>
      <c r="G19" s="52">
        <v>62</v>
      </c>
      <c r="H19" s="53">
        <v>2.5000000000000001E-2</v>
      </c>
      <c r="I19" s="54" t="s">
        <v>24</v>
      </c>
      <c r="K19" s="43">
        <f t="shared" si="1"/>
        <v>-6.8035649878949727</v>
      </c>
      <c r="L19" s="43">
        <f t="shared" si="2"/>
        <v>29.40944923030855</v>
      </c>
      <c r="M19" s="44">
        <f t="shared" si="3"/>
        <v>0</v>
      </c>
      <c r="O19" s="43">
        <f t="shared" si="4"/>
        <v>171.53647571289321</v>
      </c>
      <c r="P19" s="32">
        <f t="shared" si="22"/>
        <v>2.0558613525637634E-2</v>
      </c>
      <c r="Q19" s="100"/>
      <c r="R19" s="34"/>
      <c r="S19" s="95">
        <v>385</v>
      </c>
      <c r="T19" s="34"/>
      <c r="U19" s="34"/>
      <c r="V19" s="34"/>
      <c r="W19" s="68">
        <f t="shared" si="23"/>
        <v>-35.049999999999997</v>
      </c>
      <c r="X19" s="68">
        <f t="shared" si="5"/>
        <v>34.9</v>
      </c>
      <c r="Y19" s="68">
        <f t="shared" si="5"/>
        <v>15.3</v>
      </c>
      <c r="Z19" s="68">
        <f t="shared" si="5"/>
        <v>-11</v>
      </c>
      <c r="AA19" s="68">
        <f t="shared" si="5"/>
        <v>62</v>
      </c>
      <c r="AB19" s="68">
        <f t="shared" si="5"/>
        <v>2.5000000000000001E-2</v>
      </c>
      <c r="AC19" s="69">
        <f t="shared" si="6"/>
        <v>-11</v>
      </c>
      <c r="AD19" s="35">
        <f t="shared" si="7"/>
        <v>171.53647571289321</v>
      </c>
      <c r="AE19" s="4">
        <f t="shared" si="8"/>
        <v>28.775114919798877</v>
      </c>
      <c r="AF19" s="36">
        <f t="shared" si="9"/>
        <v>-6.8035649878949727</v>
      </c>
      <c r="AG19" s="36">
        <f t="shared" si="10"/>
        <v>29.40944923030855</v>
      </c>
      <c r="AH19" s="4">
        <f t="shared" si="11"/>
        <v>0</v>
      </c>
      <c r="AI19" s="35">
        <f t="shared" si="12"/>
        <v>0.86672535871000322</v>
      </c>
      <c r="AJ19" s="35">
        <f t="shared" si="13"/>
        <v>-0.16847434316355037</v>
      </c>
      <c r="AK19" s="35">
        <f t="shared" si="14"/>
        <v>-0.46947156278589081</v>
      </c>
      <c r="AL19" s="35">
        <f t="shared" si="15"/>
        <v>135.05000000000001</v>
      </c>
      <c r="AM19" s="35">
        <f t="shared" si="15"/>
        <v>-104.9</v>
      </c>
      <c r="AN19" s="35">
        <f t="shared" si="15"/>
        <v>-13.5</v>
      </c>
      <c r="AO19" s="36">
        <f t="shared" si="24"/>
        <v>0.82234454102550536</v>
      </c>
      <c r="AP19" s="36">
        <f t="shared" si="25"/>
        <v>34.679815316857692</v>
      </c>
      <c r="AQ19" s="36">
        <f t="shared" si="16"/>
        <v>2.0558613525637634E-2</v>
      </c>
      <c r="AR19" s="4" t="b">
        <f t="shared" si="26"/>
        <v>1</v>
      </c>
      <c r="AS19" s="37">
        <f t="shared" si="17"/>
        <v>289.89664395478951</v>
      </c>
      <c r="AT19" s="37">
        <f t="shared" si="18"/>
        <v>557.49354606690292</v>
      </c>
      <c r="AU19" s="37">
        <f t="shared" si="19"/>
        <v>847.39019002169255</v>
      </c>
      <c r="AV19" s="37">
        <f t="shared" si="20"/>
        <v>1404.8837360885952</v>
      </c>
      <c r="AW19" s="37">
        <f t="shared" si="27"/>
        <v>500</v>
      </c>
      <c r="AX19" s="37">
        <f t="shared" si="28"/>
        <v>2500</v>
      </c>
      <c r="AY19" s="37">
        <f t="shared" si="29"/>
        <v>2500</v>
      </c>
      <c r="AZ19" s="37">
        <f t="shared" si="30"/>
        <v>5000</v>
      </c>
      <c r="BA19" s="4">
        <f t="shared" si="21"/>
        <v>2500</v>
      </c>
    </row>
    <row r="20" spans="2:53">
      <c r="B20" s="18">
        <f>IF(AR20,COUNTIF(AR$14:AR20,TRUE),"")</f>
        <v>7</v>
      </c>
      <c r="C20" s="50">
        <v>-34.950000000000003</v>
      </c>
      <c r="D20" s="50">
        <v>34.9</v>
      </c>
      <c r="E20" s="50">
        <v>15.2</v>
      </c>
      <c r="F20" s="52">
        <v>-8</v>
      </c>
      <c r="G20" s="52">
        <v>62</v>
      </c>
      <c r="H20" s="53">
        <v>2.5000000000000001E-2</v>
      </c>
      <c r="I20" s="54" t="s">
        <v>24</v>
      </c>
      <c r="K20" s="43">
        <f t="shared" si="1"/>
        <v>-6.6411648570209891</v>
      </c>
      <c r="L20" s="43">
        <f t="shared" si="2"/>
        <v>30.921452679553337</v>
      </c>
      <c r="M20" s="44">
        <f t="shared" si="3"/>
        <v>0</v>
      </c>
      <c r="O20" s="43">
        <f t="shared" si="4"/>
        <v>171.4499125109138</v>
      </c>
      <c r="P20" s="32">
        <f t="shared" si="22"/>
        <v>2.0002267452438414E-2</v>
      </c>
      <c r="Q20" s="100"/>
      <c r="R20" s="34"/>
      <c r="S20" s="95">
        <v>380</v>
      </c>
      <c r="T20" s="34"/>
      <c r="U20" s="34"/>
      <c r="V20" s="34"/>
      <c r="W20" s="68">
        <f t="shared" si="23"/>
        <v>-34.950000000000003</v>
      </c>
      <c r="X20" s="68">
        <f t="shared" si="5"/>
        <v>34.9</v>
      </c>
      <c r="Y20" s="68">
        <f t="shared" si="5"/>
        <v>15.2</v>
      </c>
      <c r="Z20" s="68">
        <f t="shared" si="5"/>
        <v>-8</v>
      </c>
      <c r="AA20" s="68">
        <f t="shared" si="5"/>
        <v>62</v>
      </c>
      <c r="AB20" s="68">
        <f t="shared" si="5"/>
        <v>2.5000000000000001E-2</v>
      </c>
      <c r="AC20" s="69">
        <f t="shared" si="6"/>
        <v>-8</v>
      </c>
      <c r="AD20" s="35">
        <f t="shared" si="7"/>
        <v>171.4499125109138</v>
      </c>
      <c r="AE20" s="4">
        <f t="shared" si="8"/>
        <v>28.587042273264242</v>
      </c>
      <c r="AF20" s="36">
        <f t="shared" si="9"/>
        <v>-6.6411648570209891</v>
      </c>
      <c r="AG20" s="36">
        <f t="shared" si="10"/>
        <v>30.921452679553337</v>
      </c>
      <c r="AH20" s="4">
        <f t="shared" si="11"/>
        <v>0</v>
      </c>
      <c r="AI20" s="35">
        <f t="shared" si="12"/>
        <v>0.87435480758042794</v>
      </c>
      <c r="AJ20" s="35">
        <f t="shared" si="13"/>
        <v>-0.1228825544834022</v>
      </c>
      <c r="AK20" s="35">
        <f t="shared" si="14"/>
        <v>-0.46947156278589081</v>
      </c>
      <c r="AL20" s="35">
        <f t="shared" si="15"/>
        <v>134.94999999999999</v>
      </c>
      <c r="AM20" s="35">
        <f t="shared" si="15"/>
        <v>-104.9</v>
      </c>
      <c r="AN20" s="35">
        <f t="shared" si="15"/>
        <v>-13.399999999999999</v>
      </c>
      <c r="AO20" s="36">
        <f t="shared" si="24"/>
        <v>0.80009069809753652</v>
      </c>
      <c r="AP20" s="36">
        <f t="shared" si="25"/>
        <v>36.861235742482798</v>
      </c>
      <c r="AQ20" s="36">
        <f t="shared" si="16"/>
        <v>2.0002267452438414E-2</v>
      </c>
      <c r="AR20" s="4" t="b">
        <f t="shared" si="26"/>
        <v>1</v>
      </c>
      <c r="AS20" s="37">
        <f t="shared" si="17"/>
        <v>289.75035214344433</v>
      </c>
      <c r="AT20" s="37">
        <f t="shared" si="18"/>
        <v>557.21221566046984</v>
      </c>
      <c r="AU20" s="37">
        <f t="shared" si="19"/>
        <v>846.96256780391423</v>
      </c>
      <c r="AV20" s="37">
        <f t="shared" si="20"/>
        <v>1404.1747834643841</v>
      </c>
      <c r="AW20" s="37">
        <f t="shared" si="27"/>
        <v>500</v>
      </c>
      <c r="AX20" s="37">
        <f t="shared" si="28"/>
        <v>2500</v>
      </c>
      <c r="AY20" s="37">
        <f t="shared" si="29"/>
        <v>2500</v>
      </c>
      <c r="AZ20" s="37">
        <f t="shared" si="30"/>
        <v>5000</v>
      </c>
      <c r="BA20" s="4">
        <f t="shared" si="21"/>
        <v>2500</v>
      </c>
    </row>
    <row r="21" spans="2:53">
      <c r="B21" s="18">
        <f>IF(AR21,COUNTIF(AR$14:AR21,TRUE),"")</f>
        <v>8</v>
      </c>
      <c r="C21" s="50">
        <v>-34.85</v>
      </c>
      <c r="D21" s="50">
        <v>34.9</v>
      </c>
      <c r="E21" s="50">
        <v>15.1</v>
      </c>
      <c r="F21" s="52">
        <v>-5</v>
      </c>
      <c r="G21" s="52">
        <v>62</v>
      </c>
      <c r="H21" s="53">
        <v>2.5000000000000001E-2</v>
      </c>
      <c r="I21" s="54" t="s">
        <v>24</v>
      </c>
      <c r="K21" s="43">
        <f t="shared" si="1"/>
        <v>-6.5590970265834478</v>
      </c>
      <c r="L21" s="43">
        <f t="shared" si="2"/>
        <v>32.424866708914195</v>
      </c>
      <c r="M21" s="44">
        <f t="shared" si="3"/>
        <v>0</v>
      </c>
      <c r="O21" s="93">
        <f t="shared" si="4"/>
        <v>171.36342229309031</v>
      </c>
      <c r="P21" s="32">
        <f t="shared" si="22"/>
        <v>1.9392826440336422E-2</v>
      </c>
      <c r="Q21" s="101"/>
      <c r="R21" s="34"/>
      <c r="S21" s="95">
        <v>375</v>
      </c>
      <c r="T21" s="34"/>
      <c r="U21" s="34"/>
      <c r="V21" s="34"/>
      <c r="W21" s="68">
        <f t="shared" si="23"/>
        <v>-34.85</v>
      </c>
      <c r="X21" s="68">
        <f t="shared" si="5"/>
        <v>34.9</v>
      </c>
      <c r="Y21" s="68">
        <f t="shared" si="5"/>
        <v>15.1</v>
      </c>
      <c r="Z21" s="68">
        <f t="shared" si="5"/>
        <v>-5</v>
      </c>
      <c r="AA21" s="68">
        <f t="shared" si="5"/>
        <v>62</v>
      </c>
      <c r="AB21" s="68">
        <f t="shared" si="5"/>
        <v>2.5000000000000001E-2</v>
      </c>
      <c r="AC21" s="69">
        <f t="shared" si="6"/>
        <v>-5</v>
      </c>
      <c r="AD21" s="35">
        <f t="shared" si="7"/>
        <v>171.36342229309031</v>
      </c>
      <c r="AE21" s="4">
        <f t="shared" si="8"/>
        <v>28.39896962672961</v>
      </c>
      <c r="AF21" s="36">
        <f t="shared" si="9"/>
        <v>-6.5590970265834478</v>
      </c>
      <c r="AG21" s="36">
        <f t="shared" si="10"/>
        <v>32.424866708914195</v>
      </c>
      <c r="AH21" s="4">
        <f t="shared" si="11"/>
        <v>0</v>
      </c>
      <c r="AI21" s="35">
        <f t="shared" si="12"/>
        <v>0.87958771069893227</v>
      </c>
      <c r="AJ21" s="35">
        <f t="shared" si="13"/>
        <v>-7.6953953262876656E-2</v>
      </c>
      <c r="AK21" s="35">
        <f t="shared" si="14"/>
        <v>-0.46947156278589081</v>
      </c>
      <c r="AL21" s="35">
        <f t="shared" si="15"/>
        <v>134.85</v>
      </c>
      <c r="AM21" s="35">
        <f t="shared" si="15"/>
        <v>-104.9</v>
      </c>
      <c r="AN21" s="35">
        <f t="shared" si="15"/>
        <v>-13.299999999999999</v>
      </c>
      <c r="AO21" s="36">
        <f>(AI21*AL21+AJ21*AM21+AK21*AN21)/(SQRT(AI21^2+AJ21^2+AK21^2)*SQRT(AL21^2+AM21^2+AN21^2))</f>
        <v>0.77571305761345688</v>
      </c>
      <c r="AP21" s="36">
        <f>DEGREES(ACOS(AO21))</f>
        <v>39.130274366606898</v>
      </c>
      <c r="AQ21" s="36">
        <f t="shared" si="16"/>
        <v>1.9392826440336422E-2</v>
      </c>
      <c r="AR21" s="4" t="b">
        <f t="shared" si="26"/>
        <v>1</v>
      </c>
      <c r="AS21" s="37">
        <f t="shared" si="17"/>
        <v>289.60418367532259</v>
      </c>
      <c r="AT21" s="37">
        <f t="shared" si="18"/>
        <v>556.93112245254349</v>
      </c>
      <c r="AU21" s="37">
        <f t="shared" si="19"/>
        <v>846.53530612786619</v>
      </c>
      <c r="AV21" s="37">
        <f t="shared" si="20"/>
        <v>1403.4664285804095</v>
      </c>
      <c r="AW21" s="37">
        <f t="shared" si="27"/>
        <v>500</v>
      </c>
      <c r="AX21" s="37">
        <f t="shared" si="28"/>
        <v>2500</v>
      </c>
      <c r="AY21" s="37">
        <f t="shared" si="29"/>
        <v>2500</v>
      </c>
      <c r="AZ21" s="37">
        <f t="shared" si="30"/>
        <v>5000</v>
      </c>
      <c r="BA21" s="4">
        <f t="shared" si="21"/>
        <v>2500</v>
      </c>
    </row>
    <row r="22" spans="2:53">
      <c r="B22" s="39" t="s">
        <v>124</v>
      </c>
      <c r="H22" s="38"/>
      <c r="O22" s="94">
        <f>AVERAGE(O14:O21)</f>
        <v>171.55443565859022</v>
      </c>
      <c r="P22" s="92">
        <f t="shared" si="22"/>
        <v>0.16898796248289183</v>
      </c>
      <c r="Q22" s="91">
        <f>IF(AR22,IF(AQ22&lt;=0,"",BA22),"")</f>
        <v>2500</v>
      </c>
      <c r="R22" s="5"/>
      <c r="S22" s="109">
        <f>IF(SUM(S14:S21)&gt;0,SUM(S14:S21),"")</f>
        <v>3110</v>
      </c>
      <c r="T22" s="5"/>
      <c r="U22" s="5"/>
      <c r="V22" s="5"/>
      <c r="X22" s="4"/>
      <c r="Y22" s="4"/>
      <c r="Z22" s="4"/>
      <c r="AA22" s="4"/>
      <c r="AB22" s="4"/>
      <c r="AC22" s="4"/>
      <c r="AD22" s="4"/>
      <c r="AE22" s="4"/>
      <c r="AF22" s="36"/>
      <c r="AG22" s="36"/>
      <c r="AH22" s="4"/>
      <c r="AI22" s="4"/>
      <c r="AO22" s="36"/>
      <c r="AP22" s="36"/>
      <c r="AQ22" s="36">
        <f>SUM(P14:P21)</f>
        <v>0.16898796248289183</v>
      </c>
      <c r="AR22" s="87" t="b">
        <f>OR(AR14,AR15,A618,AR17,AR18,AR19,AR20,AR21)</f>
        <v>1</v>
      </c>
      <c r="AS22" s="37">
        <f t="shared" ref="AS22" si="31">IF(P22&lt;=0.002,AT$4*O22,IF(P22&lt;=0.01,AU$4*O22,IF(P22&lt;=0.03,AV$4*O22,IF(P22&lt;=0.13,AW$4*O22,IF(P22&lt;=0.5,AX$4*O22,AY$4)))))</f>
        <v>1137.4059084164533</v>
      </c>
      <c r="AT22" s="37">
        <f t="shared" ref="AT22" si="32">IF(P22&lt;=0.002,AT$5*O22,IF(P22&lt;=0.01,AU$5*O22,IF(P22&lt;=0.03,AV$5*O22,IF(P22&lt;=0.13,AW$5*O22,IF(P22&lt;=0.5,AX$5*O22,AY$5)))))</f>
        <v>2230.2076635616727</v>
      </c>
      <c r="AU22" s="37">
        <f t="shared" ref="AU22" si="33">IF(P22&lt;=0.002,AT$6*O22,IF(P22&lt;=0.01,AU$6*O22,IF(P22&lt;=0.03,AV$6*O22,IF(P22&lt;=0.13,AW$6*O22,IF(P22&lt;=0.5,AX$6*O22,AY$6)))))</f>
        <v>3345.3114953425093</v>
      </c>
      <c r="AV22" s="37">
        <f t="shared" ref="AV22" si="34">IF(P22&lt;=0.002,AT$7*O22,IF(P22&lt;=0.01,AU$7*O22,IF(P22&lt;=0.03,AV$7*O22,IF(P22&lt;=0.13,AW$7*O22,IF(P22&lt;=0.5,AX$7*O22,AY$7)))))</f>
        <v>5798.5399252603493</v>
      </c>
      <c r="AW22" s="37">
        <f t="shared" ref="AW22" si="35">IF(AS22&lt;500,500,IF(AS22&gt;2500,2500,AS22))</f>
        <v>1137.4059084164533</v>
      </c>
      <c r="AX22" s="37">
        <f t="shared" ref="AX22" si="36">IF(AT22&lt;2500,2500,IF(AT22&gt;7500,7500,AT22))</f>
        <v>2500</v>
      </c>
      <c r="AY22" s="37">
        <f t="shared" ref="AY22" si="37">IF(AU22&lt;2500,2500,IF(AU22&gt;10000,10000,AU22))</f>
        <v>3345.3114953425093</v>
      </c>
      <c r="AZ22" s="37">
        <f t="shared" ref="AZ22" si="38">IF(AV22&lt;5000,5000,IF(AV22&gt;25000,25000,AV22))</f>
        <v>5798.5399252603493</v>
      </c>
      <c r="BA22" s="87">
        <f t="shared" ref="BA22" si="39">IF(F$9="E1",AW22,IF(F$9="E2",AX22,IF(F$9="E3",AY22,IF(F$9="E4",AZ22,0))))</f>
        <v>2500</v>
      </c>
    </row>
    <row r="23" spans="2:53">
      <c r="H23" s="38"/>
      <c r="R23" s="5"/>
      <c r="S23" s="5"/>
      <c r="T23" s="5"/>
      <c r="U23" s="5"/>
      <c r="V23" s="5"/>
      <c r="X23" s="87"/>
      <c r="Y23" s="87"/>
      <c r="Z23" s="87"/>
      <c r="AA23" s="87"/>
      <c r="AB23" s="87"/>
      <c r="AC23" s="87"/>
      <c r="AD23" s="87"/>
      <c r="AE23" s="87"/>
      <c r="AF23" s="36"/>
      <c r="AG23" s="36"/>
      <c r="AH23" s="87"/>
      <c r="AI23" s="87"/>
      <c r="AJ23" s="87"/>
      <c r="AK23" s="87"/>
      <c r="AL23" s="87"/>
      <c r="AM23" s="87"/>
      <c r="AN23" s="87"/>
      <c r="AO23" s="36"/>
      <c r="AP23" s="36"/>
      <c r="AQ23" s="36"/>
      <c r="AR23" s="87"/>
      <c r="AS23" s="87"/>
      <c r="AT23" s="87"/>
      <c r="AU23" s="87"/>
      <c r="AV23" s="87"/>
      <c r="BA23" s="87"/>
    </row>
    <row r="24" spans="2:53">
      <c r="B24" s="39" t="s">
        <v>131</v>
      </c>
      <c r="H24" s="38"/>
      <c r="R24" s="5"/>
      <c r="S24" s="5"/>
      <c r="T24" s="5"/>
      <c r="U24" s="5"/>
      <c r="V24" s="5"/>
      <c r="X24" s="4"/>
      <c r="Y24" s="4"/>
      <c r="Z24" s="4"/>
      <c r="AA24" s="4"/>
      <c r="AB24" s="4"/>
      <c r="AC24" s="4"/>
      <c r="AD24" s="4"/>
      <c r="AE24" s="4"/>
      <c r="AF24" s="36"/>
      <c r="AG24" s="36"/>
      <c r="AH24" s="4"/>
      <c r="AI24" s="4"/>
      <c r="AO24" s="36"/>
      <c r="AP24" s="36"/>
      <c r="AQ24" s="36"/>
      <c r="AR24" s="87" t="s">
        <v>25</v>
      </c>
      <c r="AT24" s="4"/>
      <c r="AU24" s="4"/>
      <c r="AV24" s="4"/>
      <c r="BA24" s="4"/>
    </row>
    <row r="25" spans="2:53">
      <c r="B25" s="57">
        <f>IF(AR25,COUNTIF(AR$14:AR25,TRUE),"")</f>
        <v>10</v>
      </c>
      <c r="C25" s="40">
        <f>IF(AR25,AL$4-(W14-AL$4)," ")</f>
        <v>35.15</v>
      </c>
      <c r="D25" s="40">
        <f t="shared" ref="D25:D32" si="40">IF(AR25,X14," ")</f>
        <v>35.1</v>
      </c>
      <c r="E25" s="1">
        <f t="shared" ref="E25:E32" si="41">IF(AR25,Y14," ")</f>
        <v>15.4</v>
      </c>
      <c r="F25" s="41">
        <f t="shared" ref="F25:F32" si="42">IF(AR25,IF(AC14&lt;0,-180-AC14,180-AC14)," ")</f>
        <v>-154</v>
      </c>
      <c r="G25" s="41">
        <f t="shared" ref="G25:G32" si="43">IF(AR25,AA14," ")</f>
        <v>62</v>
      </c>
      <c r="H25" s="42">
        <f t="shared" ref="H25:H32" si="44">IF(AR25,AB14," ")</f>
        <v>2.5000000000000001E-2</v>
      </c>
      <c r="K25" s="43">
        <f>IF(AR25,AF25,"")</f>
        <v>9.1180594535333803</v>
      </c>
      <c r="L25" s="43">
        <f>IF(AR25,AG25,"")</f>
        <v>22.403374251879235</v>
      </c>
      <c r="M25" s="44">
        <f>IF(AR25,AH25,"")</f>
        <v>0</v>
      </c>
      <c r="O25" s="43">
        <f t="shared" ref="O25:O32" si="45">IF(AR25,AD25,"")</f>
        <v>124.24368193191957</v>
      </c>
      <c r="P25" s="32" t="str">
        <f t="shared" ref="P25:P33" si="46">IF(AR25,IF(AQ25&lt;=0,"onzichtbaar",AQ25),"")</f>
        <v>onzichtbaar</v>
      </c>
      <c r="Q25" s="100"/>
      <c r="R25" s="34"/>
      <c r="S25" s="95"/>
      <c r="T25" s="34"/>
      <c r="U25" s="34"/>
      <c r="V25" s="34"/>
      <c r="W25" s="46" t="s">
        <v>6</v>
      </c>
      <c r="X25" s="35"/>
      <c r="Y25" s="35"/>
      <c r="Z25" s="35"/>
      <c r="AA25" s="35"/>
      <c r="AB25" s="35"/>
      <c r="AC25" s="4"/>
      <c r="AD25" s="35">
        <f t="shared" ref="AD25:AD32" si="47">SQRT(($W$9-$C25)^2+($X$9-$D25)^2+($Y$9-$E25)^2)</f>
        <v>124.24368193191957</v>
      </c>
      <c r="AE25" s="4">
        <f t="shared" ref="AE25:AE28" si="48">IF(G25&gt;=90,NA(),E25*TAN(RADIANS(G25)))</f>
        <v>28.963187566333509</v>
      </c>
      <c r="AF25" s="36">
        <f t="shared" ref="AF25:AF32" si="49">IF(G25&gt;=90,NA(),COS(RADIANS(F25))*AE25+C25)</f>
        <v>9.1180594535333803</v>
      </c>
      <c r="AG25" s="36">
        <f t="shared" ref="AG25:AG32" si="50">IF(G25&gt;=90,NA(),SIN(RADIANS(F25))*AE25+D25)</f>
        <v>22.403374251879235</v>
      </c>
      <c r="AH25" s="4">
        <f t="shared" ref="AH25:AH28" si="51">IF(G25&gt;=90,NA(),0)</f>
        <v>0</v>
      </c>
      <c r="AI25" s="35">
        <f t="shared" ref="AI25:AI28" si="52">COS(RADIANS(F25))*COS(RADIANS(G25-90))</f>
        <v>-0.79358803965578451</v>
      </c>
      <c r="AJ25" s="35">
        <f t="shared" ref="AJ25:AJ28" si="53">SIN(RADIANS(F25))*COS(RADIANS(G25-90))</f>
        <v>-0.38705874883622315</v>
      </c>
      <c r="AK25" s="35">
        <f t="shared" ref="AK25:AK28" si="54">SIN(RADIANS(G25-90))</f>
        <v>-0.46947156278589081</v>
      </c>
      <c r="AL25" s="35">
        <f t="shared" ref="AL25:AN32" si="55">W$9-C25</f>
        <v>64.849999999999994</v>
      </c>
      <c r="AM25" s="35">
        <f t="shared" si="55"/>
        <v>-105.1</v>
      </c>
      <c r="AN25" s="35">
        <f t="shared" si="55"/>
        <v>-13.6</v>
      </c>
      <c r="AO25" s="36">
        <f t="shared" ref="AO25:AO28" si="56">(AI25*AL25+AJ25*AM25+AK25*AN25)/(SQRT(AI25^2+AJ25^2+AK25^2)*SQRT(AL25^2+AM25^2+AN25^2))</f>
        <v>-3.5410224058823353E-2</v>
      </c>
      <c r="AP25" s="36">
        <f t="shared" ref="AP25:AP28" si="57">DEGREES(ACOS(AO25))</f>
        <v>92.029280621348434</v>
      </c>
      <c r="AQ25" s="36">
        <f t="shared" ref="AQ25:AQ32" si="58">H25*AO25</f>
        <v>-8.8525560147058389E-4</v>
      </c>
      <c r="AR25" s="4" t="b">
        <f>NOT(ISERROR(FIND("X",UPPER(I14))))</f>
        <v>1</v>
      </c>
      <c r="AS25" s="37">
        <f t="shared" ref="AS25:AS32" si="59">IF(P25&lt;=0.002,AT$4*O25,IF(P25&lt;=0.01,AU$4*O25,IF(P25&lt;=0.03,AV$4*O25,IF(P25&lt;=0.13,AW$4*O25,IF(P25&lt;=0.5,AX$4*O25,AY$4)))))</f>
        <v>2500</v>
      </c>
      <c r="AT25" s="37">
        <f t="shared" ref="AT25:AT32" si="60">IF(P25&lt;=0.002,AT$5*O25,IF(P25&lt;=0.01,AU$5*O25,IF(P25&lt;=0.03,AV$5*O25,IF(P25&lt;=0.13,AW$5*O25,IF(P25&lt;=0.5,AX$5*O25,AY$5)))))</f>
        <v>7500</v>
      </c>
      <c r="AU25" s="37">
        <f t="shared" ref="AU25:AU32" si="61">IF(P25&lt;=0.002,AT$6*O25,IF(P25&lt;=0.01,AU$6*O25,IF(P25&lt;=0.03,AV$6*O25,IF(P25&lt;=0.13,AW$6*O25,IF(P25&lt;=0.5,AX$6*O25,AY$6)))))</f>
        <v>10000</v>
      </c>
      <c r="AV25" s="37">
        <f t="shared" ref="AV25:AV32" si="62">IF(P25&lt;=0.002,AT$7*O25,IF(P25&lt;=0.01,AU$7*O25,IF(P25&lt;=0.03,AV$7*O25,IF(P25&lt;=0.13,AW$7*O25,IF(P25&lt;=0.5,AX$7*O25,AY$7)))))</f>
        <v>25000</v>
      </c>
      <c r="AW25" s="37">
        <f t="shared" ref="AW25:AW32" si="63">IF(AS25&lt;500,500,IF(AS25&gt;2500,2500,AS25))</f>
        <v>2500</v>
      </c>
      <c r="AX25" s="37">
        <f t="shared" ref="AX25:AX32" si="64">IF(AT25&lt;2500,2500,IF(AT25&gt;7500,7500,AT25))</f>
        <v>7500</v>
      </c>
      <c r="AY25" s="37">
        <f t="shared" ref="AY25:AY32" si="65">IF(AU25&lt;2500,2500,IF(AU25&gt;10000,10000,AU25))</f>
        <v>10000</v>
      </c>
      <c r="AZ25" s="37">
        <f t="shared" ref="AZ25:AZ32" si="66">IF(AV25&lt;5000,5000,IF(AV25&gt;25000,25000,AV25))</f>
        <v>25000</v>
      </c>
      <c r="BA25" s="4">
        <f t="shared" ref="BA25:BA32" si="67">IF(F$9="E1",AW25,IF(F$9="E2",AX25,IF(F$9="E3",AY25,IF(F$9="E4",AZ25,0))))</f>
        <v>7500</v>
      </c>
    </row>
    <row r="26" spans="2:53">
      <c r="B26" s="18">
        <f>IF(AR26,COUNTIF(AR$14:AR26,TRUE),"")</f>
        <v>11</v>
      </c>
      <c r="C26" s="40">
        <f t="shared" ref="C26:C32" si="68">IF(AR26,AL$4-(W15-AL$4)," ")</f>
        <v>35.049999999999997</v>
      </c>
      <c r="D26" s="40">
        <f t="shared" si="40"/>
        <v>35.1</v>
      </c>
      <c r="E26" s="1">
        <f t="shared" si="41"/>
        <v>15.3</v>
      </c>
      <c r="F26" s="41">
        <f t="shared" si="42"/>
        <v>-157</v>
      </c>
      <c r="G26" s="41">
        <f t="shared" si="43"/>
        <v>62</v>
      </c>
      <c r="H26" s="42">
        <f t="shared" si="44"/>
        <v>2.5000000000000001E-2</v>
      </c>
      <c r="K26" s="43">
        <f t="shared" ref="K26:K32" si="69">IF(AR26,AF26,"")</f>
        <v>8.5623670576734021</v>
      </c>
      <c r="L26" s="43">
        <f t="shared" ref="L26:L32" si="70">IF(AR26,AG26,"")</f>
        <v>23.856666874978448</v>
      </c>
      <c r="M26" s="44">
        <f t="shared" ref="M26:M32" si="71">IF(AR26,AH26,"")</f>
        <v>0</v>
      </c>
      <c r="O26" s="43">
        <f t="shared" si="45"/>
        <v>124.28500512933971</v>
      </c>
      <c r="P26" s="32" t="str">
        <f t="shared" si="46"/>
        <v>onzichtbaar</v>
      </c>
      <c r="Q26" s="100"/>
      <c r="R26" s="34"/>
      <c r="S26" s="95"/>
      <c r="T26" s="34"/>
      <c r="U26" s="34"/>
      <c r="V26" s="34"/>
      <c r="W26" s="3" t="s">
        <v>10</v>
      </c>
      <c r="X26" s="35"/>
      <c r="Y26" s="35"/>
      <c r="Z26" s="35"/>
      <c r="AA26" s="35"/>
      <c r="AB26" s="35"/>
      <c r="AC26" s="4"/>
      <c r="AD26" s="35">
        <f t="shared" si="47"/>
        <v>124.28500512933971</v>
      </c>
      <c r="AE26" s="4">
        <f t="shared" si="48"/>
        <v>28.775114919798877</v>
      </c>
      <c r="AF26" s="36">
        <f t="shared" si="49"/>
        <v>8.5623670576734021</v>
      </c>
      <c r="AG26" s="36">
        <f t="shared" si="50"/>
        <v>23.856666874978448</v>
      </c>
      <c r="AH26" s="4">
        <f t="shared" si="51"/>
        <v>0</v>
      </c>
      <c r="AI26" s="35">
        <f t="shared" si="52"/>
        <v>-0.81275754457079152</v>
      </c>
      <c r="AJ26" s="35">
        <f t="shared" si="53"/>
        <v>-0.34499510935465638</v>
      </c>
      <c r="AK26" s="35">
        <f t="shared" si="54"/>
        <v>-0.46947156278589081</v>
      </c>
      <c r="AL26" s="35">
        <f t="shared" si="55"/>
        <v>64.95</v>
      </c>
      <c r="AM26" s="35">
        <f t="shared" si="55"/>
        <v>-105.1</v>
      </c>
      <c r="AN26" s="35">
        <f t="shared" si="55"/>
        <v>-13.5</v>
      </c>
      <c r="AO26" s="36">
        <f t="shared" si="56"/>
        <v>-8.200305755696552E-2</v>
      </c>
      <c r="AP26" s="36">
        <f t="shared" si="57"/>
        <v>94.703710869151607</v>
      </c>
      <c r="AQ26" s="36">
        <f t="shared" si="58"/>
        <v>-2.050076438924138E-3</v>
      </c>
      <c r="AR26" s="4" t="b">
        <f t="shared" ref="AR26:AR32" si="72">NOT(ISERROR(FIND("X",UPPER(I15))))</f>
        <v>1</v>
      </c>
      <c r="AS26" s="37">
        <f t="shared" si="59"/>
        <v>2500</v>
      </c>
      <c r="AT26" s="37">
        <f t="shared" si="60"/>
        <v>7500</v>
      </c>
      <c r="AU26" s="37">
        <f t="shared" si="61"/>
        <v>10000</v>
      </c>
      <c r="AV26" s="37">
        <f t="shared" si="62"/>
        <v>25000</v>
      </c>
      <c r="AW26" s="37">
        <f t="shared" si="63"/>
        <v>2500</v>
      </c>
      <c r="AX26" s="37">
        <f t="shared" si="64"/>
        <v>7500</v>
      </c>
      <c r="AY26" s="37">
        <f t="shared" si="65"/>
        <v>10000</v>
      </c>
      <c r="AZ26" s="37">
        <f t="shared" si="66"/>
        <v>25000</v>
      </c>
      <c r="BA26" s="4">
        <f t="shared" si="67"/>
        <v>7500</v>
      </c>
    </row>
    <row r="27" spans="2:53">
      <c r="B27" s="18">
        <f>IF(AR27,COUNTIF(AR$14:AR27,TRUE),"")</f>
        <v>12</v>
      </c>
      <c r="C27" s="40">
        <f t="shared" si="68"/>
        <v>34.950000000000003</v>
      </c>
      <c r="D27" s="40">
        <f t="shared" si="40"/>
        <v>35.1</v>
      </c>
      <c r="E27" s="1">
        <f t="shared" si="41"/>
        <v>15.2</v>
      </c>
      <c r="F27" s="41">
        <f t="shared" si="42"/>
        <v>-160</v>
      </c>
      <c r="G27" s="41">
        <f t="shared" si="43"/>
        <v>62</v>
      </c>
      <c r="H27" s="42">
        <f t="shared" si="44"/>
        <v>2.5000000000000001E-2</v>
      </c>
      <c r="K27" s="43">
        <f t="shared" si="69"/>
        <v>8.0869673257187777</v>
      </c>
      <c r="L27" s="43">
        <f t="shared" si="70"/>
        <v>25.32265570444121</v>
      </c>
      <c r="M27" s="44">
        <f t="shared" si="71"/>
        <v>0</v>
      </c>
      <c r="O27" s="43">
        <f t="shared" si="45"/>
        <v>124.32647545876942</v>
      </c>
      <c r="P27" s="32" t="str">
        <f t="shared" si="46"/>
        <v>onzichtbaar</v>
      </c>
      <c r="Q27" s="100"/>
      <c r="R27" s="34"/>
      <c r="S27" s="95"/>
      <c r="T27" s="34"/>
      <c r="U27" s="34"/>
      <c r="V27" s="34"/>
      <c r="W27" s="3" t="s">
        <v>122</v>
      </c>
      <c r="X27" s="35"/>
      <c r="Y27" s="35"/>
      <c r="Z27" s="35"/>
      <c r="AA27" s="35"/>
      <c r="AB27" s="35"/>
      <c r="AC27" s="4"/>
      <c r="AD27" s="35">
        <f t="shared" si="47"/>
        <v>124.32647545876942</v>
      </c>
      <c r="AE27" s="4">
        <f t="shared" si="48"/>
        <v>28.587042273264242</v>
      </c>
      <c r="AF27" s="36">
        <f t="shared" si="49"/>
        <v>8.0869673257187777</v>
      </c>
      <c r="AG27" s="36">
        <f t="shared" si="50"/>
        <v>25.32265570444121</v>
      </c>
      <c r="AH27" s="4">
        <f t="shared" si="51"/>
        <v>0</v>
      </c>
      <c r="AI27" s="35">
        <f t="shared" si="52"/>
        <v>-0.8296993375502143</v>
      </c>
      <c r="AJ27" s="35">
        <f t="shared" si="53"/>
        <v>-0.30198586225866453</v>
      </c>
      <c r="AK27" s="35">
        <f t="shared" si="54"/>
        <v>-0.46947156278589081</v>
      </c>
      <c r="AL27" s="35">
        <f t="shared" si="55"/>
        <v>65.05</v>
      </c>
      <c r="AM27" s="35">
        <f t="shared" si="55"/>
        <v>-105.1</v>
      </c>
      <c r="AN27" s="35">
        <f t="shared" si="55"/>
        <v>-13.399999999999999</v>
      </c>
      <c r="AO27" s="36">
        <f t="shared" si="56"/>
        <v>-0.12822939590378585</v>
      </c>
      <c r="AP27" s="36">
        <f t="shared" si="57"/>
        <v>97.36728783771143</v>
      </c>
      <c r="AQ27" s="36">
        <f t="shared" si="58"/>
        <v>-3.2057348975946462E-3</v>
      </c>
      <c r="AR27" s="4" t="b">
        <f t="shared" si="72"/>
        <v>1</v>
      </c>
      <c r="AS27" s="37">
        <f t="shared" si="59"/>
        <v>2500</v>
      </c>
      <c r="AT27" s="37">
        <f t="shared" si="60"/>
        <v>7500</v>
      </c>
      <c r="AU27" s="37">
        <f t="shared" si="61"/>
        <v>10000</v>
      </c>
      <c r="AV27" s="37">
        <f t="shared" si="62"/>
        <v>25000</v>
      </c>
      <c r="AW27" s="37">
        <f t="shared" si="63"/>
        <v>2500</v>
      </c>
      <c r="AX27" s="37">
        <f t="shared" si="64"/>
        <v>7500</v>
      </c>
      <c r="AY27" s="37">
        <f t="shared" si="65"/>
        <v>10000</v>
      </c>
      <c r="AZ27" s="37">
        <f t="shared" si="66"/>
        <v>25000</v>
      </c>
      <c r="BA27" s="4">
        <f t="shared" si="67"/>
        <v>7500</v>
      </c>
    </row>
    <row r="28" spans="2:53">
      <c r="B28" s="18">
        <f>IF(AR28,COUNTIF(AR$14:AR28,TRUE),"")</f>
        <v>13</v>
      </c>
      <c r="C28" s="40">
        <f t="shared" si="68"/>
        <v>34.85</v>
      </c>
      <c r="D28" s="40">
        <f t="shared" si="40"/>
        <v>35.1</v>
      </c>
      <c r="E28" s="1">
        <f t="shared" si="41"/>
        <v>15.1</v>
      </c>
      <c r="F28" s="41">
        <f t="shared" si="42"/>
        <v>-163</v>
      </c>
      <c r="G28" s="41">
        <f t="shared" si="43"/>
        <v>62</v>
      </c>
      <c r="H28" s="42">
        <f t="shared" si="44"/>
        <v>2.5000000000000001E-2</v>
      </c>
      <c r="K28" s="43">
        <f t="shared" si="69"/>
        <v>7.6919302815086823</v>
      </c>
      <c r="L28" s="43">
        <f t="shared" si="70"/>
        <v>26.796944837863848</v>
      </c>
      <c r="M28" s="44">
        <f t="shared" si="71"/>
        <v>0</v>
      </c>
      <c r="O28" s="43">
        <f t="shared" si="45"/>
        <v>124.36809277302599</v>
      </c>
      <c r="P28" s="32" t="str">
        <f t="shared" si="46"/>
        <v>onzichtbaar</v>
      </c>
      <c r="Q28" s="100"/>
      <c r="R28" s="34"/>
      <c r="S28" s="95"/>
      <c r="T28" s="34"/>
      <c r="U28" s="34"/>
      <c r="V28" s="34"/>
      <c r="W28" s="3" t="s">
        <v>7</v>
      </c>
      <c r="X28" s="35"/>
      <c r="Y28" s="35"/>
      <c r="Z28" s="35"/>
      <c r="AA28" s="35"/>
      <c r="AB28" s="35"/>
      <c r="AC28" s="4"/>
      <c r="AD28" s="35">
        <f t="shared" si="47"/>
        <v>124.36809277302599</v>
      </c>
      <c r="AE28" s="4">
        <f t="shared" si="48"/>
        <v>28.39896962672961</v>
      </c>
      <c r="AF28" s="36">
        <f t="shared" si="49"/>
        <v>7.6919302815086823</v>
      </c>
      <c r="AG28" s="36">
        <f t="shared" si="50"/>
        <v>26.796944837863848</v>
      </c>
      <c r="AH28" s="4">
        <f t="shared" si="51"/>
        <v>0</v>
      </c>
      <c r="AI28" s="35">
        <f t="shared" si="52"/>
        <v>-0.84436698231710583</v>
      </c>
      <c r="AJ28" s="35">
        <f t="shared" si="53"/>
        <v>-0.25814889290500126</v>
      </c>
      <c r="AK28" s="35">
        <f t="shared" si="54"/>
        <v>-0.46947156278589081</v>
      </c>
      <c r="AL28" s="35">
        <f t="shared" si="55"/>
        <v>65.150000000000006</v>
      </c>
      <c r="AM28" s="35">
        <f t="shared" si="55"/>
        <v>-105.1</v>
      </c>
      <c r="AN28" s="35">
        <f t="shared" si="55"/>
        <v>-13.299999999999999</v>
      </c>
      <c r="AO28" s="36">
        <f t="shared" si="56"/>
        <v>-0.17396012101010422</v>
      </c>
      <c r="AP28" s="36">
        <f t="shared" si="57"/>
        <v>100.01814926457531</v>
      </c>
      <c r="AQ28" s="36">
        <f t="shared" si="58"/>
        <v>-4.3490030252526053E-3</v>
      </c>
      <c r="AR28" s="4" t="b">
        <f t="shared" si="72"/>
        <v>1</v>
      </c>
      <c r="AS28" s="37">
        <f t="shared" si="59"/>
        <v>2500</v>
      </c>
      <c r="AT28" s="37">
        <f t="shared" si="60"/>
        <v>7500</v>
      </c>
      <c r="AU28" s="37">
        <f t="shared" si="61"/>
        <v>10000</v>
      </c>
      <c r="AV28" s="37">
        <f t="shared" si="62"/>
        <v>25000</v>
      </c>
      <c r="AW28" s="37">
        <f t="shared" si="63"/>
        <v>2500</v>
      </c>
      <c r="AX28" s="37">
        <f t="shared" si="64"/>
        <v>7500</v>
      </c>
      <c r="AY28" s="37">
        <f t="shared" si="65"/>
        <v>10000</v>
      </c>
      <c r="AZ28" s="37">
        <f t="shared" si="66"/>
        <v>25000</v>
      </c>
      <c r="BA28" s="4">
        <f t="shared" si="67"/>
        <v>7500</v>
      </c>
    </row>
    <row r="29" spans="2:53">
      <c r="B29" s="18">
        <f>IF(AR29,COUNTIF(AR$14:AR29,TRUE),"")</f>
        <v>14</v>
      </c>
      <c r="C29" s="40">
        <f t="shared" si="68"/>
        <v>35.15</v>
      </c>
      <c r="D29" s="40">
        <f t="shared" si="40"/>
        <v>34.9</v>
      </c>
      <c r="E29" s="1">
        <f t="shared" si="41"/>
        <v>15.4</v>
      </c>
      <c r="F29" s="41">
        <f t="shared" si="42"/>
        <v>-166</v>
      </c>
      <c r="G29" s="41">
        <f t="shared" si="43"/>
        <v>62</v>
      </c>
      <c r="H29" s="42">
        <f t="shared" si="44"/>
        <v>2.5000000000000001E-2</v>
      </c>
      <c r="K29" s="43">
        <f t="shared" si="69"/>
        <v>7.0471428850565161</v>
      </c>
      <c r="L29" s="43">
        <f t="shared" si="70"/>
        <v>27.893170761343868</v>
      </c>
      <c r="M29" s="44">
        <f t="shared" si="71"/>
        <v>0</v>
      </c>
      <c r="O29" s="43">
        <f t="shared" si="45"/>
        <v>124.07454412569889</v>
      </c>
      <c r="P29" s="32" t="str">
        <f t="shared" si="46"/>
        <v>onzichtbaar</v>
      </c>
      <c r="Q29" s="100"/>
      <c r="R29" s="34"/>
      <c r="S29" s="95"/>
      <c r="T29" s="34"/>
      <c r="U29" s="34"/>
      <c r="V29" s="34"/>
      <c r="W29" s="39" t="s">
        <v>22</v>
      </c>
      <c r="X29" s="35"/>
      <c r="Y29" s="35"/>
      <c r="Z29" s="35"/>
      <c r="AA29" s="35"/>
      <c r="AB29" s="35"/>
      <c r="AC29" s="4"/>
      <c r="AD29" s="35">
        <f t="shared" si="47"/>
        <v>124.07454412569889</v>
      </c>
      <c r="AE29" s="4">
        <f t="shared" ref="AE29:AE32" si="73">IF(G29&gt;=90,NA(),E29*TAN(RADIANS(G29)))</f>
        <v>28.963187566333509</v>
      </c>
      <c r="AF29" s="36">
        <f t="shared" si="49"/>
        <v>7.0471428850565161</v>
      </c>
      <c r="AG29" s="36">
        <f t="shared" si="50"/>
        <v>27.893170761343868</v>
      </c>
      <c r="AH29" s="4">
        <f t="shared" ref="AH29:AH32" si="74">IF(G29&gt;=90,NA(),0)</f>
        <v>0</v>
      </c>
      <c r="AI29" s="35">
        <f t="shared" ref="AI29:AI32" si="75">COS(RADIANS(F29))*COS(RADIANS(G29-90))</f>
        <v>-0.85672027587669541</v>
      </c>
      <c r="AJ29" s="35">
        <f t="shared" ref="AJ29:AJ32" si="76">SIN(RADIANS(F29))*COS(RADIANS(G29-90))</f>
        <v>-0.21360435537959527</v>
      </c>
      <c r="AK29" s="35">
        <f t="shared" ref="AK29:AK32" si="77">SIN(RADIANS(G29-90))</f>
        <v>-0.46947156278589081</v>
      </c>
      <c r="AL29" s="35">
        <f t="shared" si="55"/>
        <v>64.849999999999994</v>
      </c>
      <c r="AM29" s="35">
        <f t="shared" si="55"/>
        <v>-104.9</v>
      </c>
      <c r="AN29" s="35">
        <f t="shared" si="55"/>
        <v>-13.6</v>
      </c>
      <c r="AO29" s="36">
        <f t="shared" ref="AO29:AO32" si="78">(AI29*AL29+AJ29*AM29+AK29*AN29)/(SQRT(AI29^2+AJ29^2+AK29^2)*SQRT(AL29^2+AM29^2+AN29^2))</f>
        <v>-0.21572837479281179</v>
      </c>
      <c r="AP29" s="36">
        <f t="shared" ref="AP29:AP32" si="79">DEGREES(ACOS(AO29))</f>
        <v>102.45826295066645</v>
      </c>
      <c r="AQ29" s="36">
        <f t="shared" si="58"/>
        <v>-5.3932093698202954E-3</v>
      </c>
      <c r="AR29" s="4" t="b">
        <f t="shared" si="72"/>
        <v>1</v>
      </c>
      <c r="AS29" s="37">
        <f t="shared" si="59"/>
        <v>2500</v>
      </c>
      <c r="AT29" s="37">
        <f t="shared" si="60"/>
        <v>7500</v>
      </c>
      <c r="AU29" s="37">
        <f t="shared" si="61"/>
        <v>10000</v>
      </c>
      <c r="AV29" s="37">
        <f t="shared" si="62"/>
        <v>25000</v>
      </c>
      <c r="AW29" s="37">
        <f t="shared" si="63"/>
        <v>2500</v>
      </c>
      <c r="AX29" s="37">
        <f t="shared" si="64"/>
        <v>7500</v>
      </c>
      <c r="AY29" s="37">
        <f t="shared" si="65"/>
        <v>10000</v>
      </c>
      <c r="AZ29" s="37">
        <f t="shared" si="66"/>
        <v>25000</v>
      </c>
      <c r="BA29" s="4">
        <f t="shared" si="67"/>
        <v>7500</v>
      </c>
    </row>
    <row r="30" spans="2:53">
      <c r="B30" s="18">
        <f>IF(AR30,COUNTIF(AR$14:AR30,TRUE),"")</f>
        <v>15</v>
      </c>
      <c r="C30" s="40">
        <f t="shared" si="68"/>
        <v>35.049999999999997</v>
      </c>
      <c r="D30" s="40">
        <f t="shared" si="40"/>
        <v>34.9</v>
      </c>
      <c r="E30" s="1">
        <f t="shared" si="41"/>
        <v>15.3</v>
      </c>
      <c r="F30" s="41">
        <f t="shared" si="42"/>
        <v>-169</v>
      </c>
      <c r="G30" s="41">
        <f t="shared" si="43"/>
        <v>62</v>
      </c>
      <c r="H30" s="42">
        <f t="shared" si="44"/>
        <v>2.5000000000000001E-2</v>
      </c>
      <c r="K30" s="43">
        <f t="shared" si="69"/>
        <v>6.8035649878949727</v>
      </c>
      <c r="L30" s="43">
        <f t="shared" si="70"/>
        <v>29.409449230308546</v>
      </c>
      <c r="M30" s="44">
        <f t="shared" si="71"/>
        <v>0</v>
      </c>
      <c r="O30" s="43">
        <f t="shared" si="45"/>
        <v>124.11592363592999</v>
      </c>
      <c r="P30" s="32" t="str">
        <f t="shared" si="46"/>
        <v>onzichtbaar</v>
      </c>
      <c r="Q30" s="100"/>
      <c r="R30" s="34"/>
      <c r="S30" s="95"/>
      <c r="T30" s="34"/>
      <c r="U30" s="34"/>
      <c r="V30" s="34"/>
      <c r="W30" s="3" t="s">
        <v>19</v>
      </c>
      <c r="X30" s="35"/>
      <c r="Y30" s="35"/>
      <c r="Z30" s="35"/>
      <c r="AA30" s="35"/>
      <c r="AB30" s="35"/>
      <c r="AC30" s="4"/>
      <c r="AD30" s="35">
        <f t="shared" si="47"/>
        <v>124.11592363592999</v>
      </c>
      <c r="AE30" s="4">
        <f t="shared" si="73"/>
        <v>28.775114919798877</v>
      </c>
      <c r="AF30" s="36">
        <f t="shared" si="49"/>
        <v>6.8035649878949727</v>
      </c>
      <c r="AG30" s="36">
        <f t="shared" si="50"/>
        <v>29.409449230308546</v>
      </c>
      <c r="AH30" s="4">
        <f t="shared" si="74"/>
        <v>0</v>
      </c>
      <c r="AI30" s="35">
        <f t="shared" si="75"/>
        <v>-0.86672535871000322</v>
      </c>
      <c r="AJ30" s="35">
        <f t="shared" si="76"/>
        <v>-0.16847434316355051</v>
      </c>
      <c r="AK30" s="35">
        <f t="shared" si="77"/>
        <v>-0.46947156278589081</v>
      </c>
      <c r="AL30" s="35">
        <f t="shared" si="55"/>
        <v>64.95</v>
      </c>
      <c r="AM30" s="35">
        <f t="shared" si="55"/>
        <v>-104.9</v>
      </c>
      <c r="AN30" s="35">
        <f t="shared" si="55"/>
        <v>-13.5</v>
      </c>
      <c r="AO30" s="36">
        <f t="shared" si="78"/>
        <v>-0.26010350974339619</v>
      </c>
      <c r="AP30" s="36">
        <f t="shared" si="79"/>
        <v>105.07620413341195</v>
      </c>
      <c r="AQ30" s="36">
        <f t="shared" si="58"/>
        <v>-6.5025877435849052E-3</v>
      </c>
      <c r="AR30" s="4" t="b">
        <f t="shared" si="72"/>
        <v>1</v>
      </c>
      <c r="AS30" s="37">
        <f t="shared" si="59"/>
        <v>2500</v>
      </c>
      <c r="AT30" s="37">
        <f t="shared" si="60"/>
        <v>7500</v>
      </c>
      <c r="AU30" s="37">
        <f t="shared" si="61"/>
        <v>10000</v>
      </c>
      <c r="AV30" s="37">
        <f t="shared" si="62"/>
        <v>25000</v>
      </c>
      <c r="AW30" s="37">
        <f t="shared" si="63"/>
        <v>2500</v>
      </c>
      <c r="AX30" s="37">
        <f t="shared" si="64"/>
        <v>7500</v>
      </c>
      <c r="AY30" s="37">
        <f t="shared" si="65"/>
        <v>10000</v>
      </c>
      <c r="AZ30" s="37">
        <f t="shared" si="66"/>
        <v>25000</v>
      </c>
      <c r="BA30" s="4">
        <f t="shared" si="67"/>
        <v>7500</v>
      </c>
    </row>
    <row r="31" spans="2:53">
      <c r="B31" s="18">
        <f>IF(AR31,COUNTIF(AR$14:AR31,TRUE),"")</f>
        <v>16</v>
      </c>
      <c r="C31" s="40">
        <f t="shared" si="68"/>
        <v>34.950000000000003</v>
      </c>
      <c r="D31" s="40">
        <f t="shared" si="40"/>
        <v>34.9</v>
      </c>
      <c r="E31" s="1">
        <f t="shared" si="41"/>
        <v>15.2</v>
      </c>
      <c r="F31" s="41">
        <f t="shared" si="42"/>
        <v>-172</v>
      </c>
      <c r="G31" s="41">
        <f t="shared" si="43"/>
        <v>62</v>
      </c>
      <c r="H31" s="42">
        <f t="shared" si="44"/>
        <v>2.5000000000000001E-2</v>
      </c>
      <c r="K31" s="43">
        <f t="shared" si="69"/>
        <v>6.6411648570209891</v>
      </c>
      <c r="L31" s="43">
        <f t="shared" si="70"/>
        <v>30.92145267955334</v>
      </c>
      <c r="M31" s="44">
        <f t="shared" si="71"/>
        <v>0</v>
      </c>
      <c r="O31" s="43">
        <f t="shared" si="45"/>
        <v>124.15745044096226</v>
      </c>
      <c r="P31" s="32" t="str">
        <f t="shared" si="46"/>
        <v>onzichtbaar</v>
      </c>
      <c r="Q31" s="100"/>
      <c r="R31" s="34"/>
      <c r="S31" s="95"/>
      <c r="T31" s="34"/>
      <c r="U31" s="34"/>
      <c r="V31" s="34"/>
      <c r="W31" s="3" t="s">
        <v>20</v>
      </c>
      <c r="X31" s="35"/>
      <c r="Y31" s="35"/>
      <c r="Z31" s="35"/>
      <c r="AA31" s="35"/>
      <c r="AB31" s="35"/>
      <c r="AC31" s="4"/>
      <c r="AD31" s="35">
        <f t="shared" si="47"/>
        <v>124.15745044096226</v>
      </c>
      <c r="AE31" s="4">
        <f t="shared" si="73"/>
        <v>28.587042273264242</v>
      </c>
      <c r="AF31" s="36">
        <f t="shared" si="49"/>
        <v>6.6411648570209891</v>
      </c>
      <c r="AG31" s="36">
        <f t="shared" si="50"/>
        <v>30.92145267955334</v>
      </c>
      <c r="AH31" s="4">
        <f t="shared" si="74"/>
        <v>0</v>
      </c>
      <c r="AI31" s="35">
        <f t="shared" si="75"/>
        <v>-0.87435480758042794</v>
      </c>
      <c r="AJ31" s="35">
        <f t="shared" si="76"/>
        <v>-0.1228825544834021</v>
      </c>
      <c r="AK31" s="35">
        <f t="shared" si="77"/>
        <v>-0.46947156278589081</v>
      </c>
      <c r="AL31" s="35">
        <f t="shared" si="55"/>
        <v>65.05</v>
      </c>
      <c r="AM31" s="35">
        <f t="shared" si="55"/>
        <v>-104.9</v>
      </c>
      <c r="AN31" s="35">
        <f t="shared" si="55"/>
        <v>-13.399999999999999</v>
      </c>
      <c r="AO31" s="36">
        <f t="shared" si="78"/>
        <v>-0.30361030443671588</v>
      </c>
      <c r="AP31" s="36">
        <f t="shared" si="79"/>
        <v>107.67457601795105</v>
      </c>
      <c r="AQ31" s="36">
        <f t="shared" si="58"/>
        <v>-7.5902576109178974E-3</v>
      </c>
      <c r="AR31" s="4" t="b">
        <f t="shared" si="72"/>
        <v>1</v>
      </c>
      <c r="AS31" s="37">
        <f t="shared" si="59"/>
        <v>2500</v>
      </c>
      <c r="AT31" s="37">
        <f t="shared" si="60"/>
        <v>7500</v>
      </c>
      <c r="AU31" s="37">
        <f t="shared" si="61"/>
        <v>10000</v>
      </c>
      <c r="AV31" s="37">
        <f t="shared" si="62"/>
        <v>25000</v>
      </c>
      <c r="AW31" s="37">
        <f t="shared" si="63"/>
        <v>2500</v>
      </c>
      <c r="AX31" s="37">
        <f t="shared" si="64"/>
        <v>7500</v>
      </c>
      <c r="AY31" s="37">
        <f t="shared" si="65"/>
        <v>10000</v>
      </c>
      <c r="AZ31" s="37">
        <f t="shared" si="66"/>
        <v>25000</v>
      </c>
      <c r="BA31" s="4">
        <f t="shared" si="67"/>
        <v>7500</v>
      </c>
    </row>
    <row r="32" spans="2:53">
      <c r="B32" s="96">
        <f>IF(AR32,COUNTIF(AR$14:AR32,TRUE),"")</f>
        <v>17</v>
      </c>
      <c r="C32" s="40">
        <f t="shared" si="68"/>
        <v>34.85</v>
      </c>
      <c r="D32" s="40">
        <f t="shared" si="40"/>
        <v>34.9</v>
      </c>
      <c r="E32" s="1">
        <f t="shared" si="41"/>
        <v>15.1</v>
      </c>
      <c r="F32" s="41">
        <f t="shared" si="42"/>
        <v>-175</v>
      </c>
      <c r="G32" s="41">
        <f t="shared" si="43"/>
        <v>62</v>
      </c>
      <c r="H32" s="42">
        <f t="shared" si="44"/>
        <v>2.5000000000000001E-2</v>
      </c>
      <c r="K32" s="43">
        <f t="shared" si="69"/>
        <v>6.5590970265834478</v>
      </c>
      <c r="L32" s="43">
        <f t="shared" si="70"/>
        <v>32.424866708914195</v>
      </c>
      <c r="M32" s="44">
        <f t="shared" si="71"/>
        <v>0</v>
      </c>
      <c r="O32" s="43">
        <f t="shared" si="45"/>
        <v>124.19912439304878</v>
      </c>
      <c r="P32" s="32" t="str">
        <f t="shared" si="46"/>
        <v>onzichtbaar</v>
      </c>
      <c r="Q32" s="101"/>
      <c r="R32" s="34"/>
      <c r="S32" s="95"/>
      <c r="T32" s="34"/>
      <c r="U32" s="34"/>
      <c r="V32" s="34"/>
      <c r="W32" s="3" t="s">
        <v>21</v>
      </c>
      <c r="X32" s="35"/>
      <c r="Y32" s="35"/>
      <c r="Z32" s="35"/>
      <c r="AA32" s="35"/>
      <c r="AB32" s="35"/>
      <c r="AC32" s="4"/>
      <c r="AD32" s="35">
        <f t="shared" si="47"/>
        <v>124.19912439304878</v>
      </c>
      <c r="AE32" s="4">
        <f t="shared" si="73"/>
        <v>28.39896962672961</v>
      </c>
      <c r="AF32" s="36">
        <f t="shared" si="49"/>
        <v>6.5590970265834478</v>
      </c>
      <c r="AG32" s="36">
        <f t="shared" si="50"/>
        <v>32.424866708914195</v>
      </c>
      <c r="AH32" s="4">
        <f t="shared" si="74"/>
        <v>0</v>
      </c>
      <c r="AI32" s="35">
        <f t="shared" si="75"/>
        <v>-0.87958771069893227</v>
      </c>
      <c r="AJ32" s="35">
        <f t="shared" si="76"/>
        <v>-7.6953953262876684E-2</v>
      </c>
      <c r="AK32" s="35">
        <f t="shared" si="77"/>
        <v>-0.46947156278589081</v>
      </c>
      <c r="AL32" s="35">
        <f t="shared" si="55"/>
        <v>65.150000000000006</v>
      </c>
      <c r="AM32" s="35">
        <f t="shared" si="55"/>
        <v>-104.9</v>
      </c>
      <c r="AN32" s="35">
        <f t="shared" si="55"/>
        <v>-13.299999999999999</v>
      </c>
      <c r="AO32" s="36">
        <f t="shared" si="78"/>
        <v>-0.34612722174805716</v>
      </c>
      <c r="AP32" s="36">
        <f t="shared" si="79"/>
        <v>110.25062076238086</v>
      </c>
      <c r="AQ32" s="36">
        <f t="shared" si="58"/>
        <v>-8.6531805437014293E-3</v>
      </c>
      <c r="AR32" s="4" t="b">
        <f t="shared" si="72"/>
        <v>1</v>
      </c>
      <c r="AS32" s="37">
        <f t="shared" si="59"/>
        <v>2500</v>
      </c>
      <c r="AT32" s="37">
        <f t="shared" si="60"/>
        <v>7500</v>
      </c>
      <c r="AU32" s="37">
        <f t="shared" si="61"/>
        <v>10000</v>
      </c>
      <c r="AV32" s="37">
        <f t="shared" si="62"/>
        <v>25000</v>
      </c>
      <c r="AW32" s="37">
        <f t="shared" si="63"/>
        <v>2500</v>
      </c>
      <c r="AX32" s="37">
        <f t="shared" si="64"/>
        <v>7500</v>
      </c>
      <c r="AY32" s="37">
        <f t="shared" si="65"/>
        <v>10000</v>
      </c>
      <c r="AZ32" s="37">
        <f t="shared" si="66"/>
        <v>25000</v>
      </c>
      <c r="BA32" s="4">
        <f t="shared" si="67"/>
        <v>7500</v>
      </c>
    </row>
    <row r="33" spans="2:53">
      <c r="B33" s="102" t="str">
        <f>B22</f>
        <v>Gehele armatuur</v>
      </c>
      <c r="H33" s="38"/>
      <c r="O33" s="94">
        <f>AVERAGE(O25:O32)</f>
        <v>124.22128723608684</v>
      </c>
      <c r="P33" s="32" t="str">
        <f t="shared" si="46"/>
        <v>onzichtbaar</v>
      </c>
      <c r="Q33" s="33" t="str">
        <f>IF(AR33,IF(AQ33&lt;=0,"",BA33),"")</f>
        <v/>
      </c>
      <c r="R33" s="5"/>
      <c r="S33" s="109" t="str">
        <f>IF(SUM(S25:S32)&gt;0,SUM(S25:S32),"")</f>
        <v/>
      </c>
      <c r="T33" s="5"/>
      <c r="U33" s="5"/>
      <c r="V33" s="5"/>
      <c r="X33" s="4"/>
      <c r="Y33" s="4"/>
      <c r="Z33" s="4"/>
      <c r="AA33" s="4"/>
      <c r="AB33" s="4"/>
      <c r="AC33" s="4"/>
      <c r="AD33" s="4"/>
      <c r="AE33" s="4"/>
      <c r="AF33" s="36"/>
      <c r="AG33" s="36"/>
      <c r="AH33" s="4"/>
      <c r="AI33" s="4"/>
      <c r="AO33" s="36"/>
      <c r="AP33" s="36"/>
      <c r="AQ33" s="36">
        <f>SUM(P25:P32)</f>
        <v>0</v>
      </c>
      <c r="AR33" s="87" t="b">
        <f>OR(AR25,AR26,A629,AR28,AR29,AR30,AR31,AR32)</f>
        <v>1</v>
      </c>
      <c r="AS33" s="37">
        <f t="shared" ref="AS33" si="80">IF(P33&lt;=0.002,AT$4*O33,IF(P33&lt;=0.01,AU$4*O33,IF(P33&lt;=0.03,AV$4*O33,IF(P33&lt;=0.13,AW$4*O33,IF(P33&lt;=0.5,AX$4*O33,AY$4)))))</f>
        <v>2500</v>
      </c>
      <c r="AT33" s="37">
        <f t="shared" ref="AT33" si="81">IF(P33&lt;=0.002,AT$5*O33,IF(P33&lt;=0.01,AU$5*O33,IF(P33&lt;=0.03,AV$5*O33,IF(P33&lt;=0.13,AW$5*O33,IF(P33&lt;=0.5,AX$5*O33,AY$5)))))</f>
        <v>7500</v>
      </c>
      <c r="AU33" s="37">
        <f t="shared" ref="AU33" si="82">IF(P33&lt;=0.002,AT$6*O33,IF(P33&lt;=0.01,AU$6*O33,IF(P33&lt;=0.03,AV$6*O33,IF(P33&lt;=0.13,AW$6*O33,IF(P33&lt;=0.5,AX$6*O33,AY$6)))))</f>
        <v>10000</v>
      </c>
      <c r="AV33" s="37">
        <f t="shared" ref="AV33" si="83">IF(P33&lt;=0.002,AT$7*O33,IF(P33&lt;=0.01,AU$7*O33,IF(P33&lt;=0.03,AV$7*O33,IF(P33&lt;=0.13,AW$7*O33,IF(P33&lt;=0.5,AX$7*O33,AY$7)))))</f>
        <v>25000</v>
      </c>
      <c r="AW33" s="37">
        <f t="shared" ref="AW33" si="84">IF(AS33&lt;500,500,IF(AS33&gt;2500,2500,AS33))</f>
        <v>2500</v>
      </c>
      <c r="AX33" s="37">
        <f t="shared" ref="AX33" si="85">IF(AT33&lt;2500,2500,IF(AT33&gt;7500,7500,AT33))</f>
        <v>7500</v>
      </c>
      <c r="AY33" s="37">
        <f t="shared" ref="AY33" si="86">IF(AU33&lt;2500,2500,IF(AU33&gt;10000,10000,AU33))</f>
        <v>10000</v>
      </c>
      <c r="AZ33" s="37">
        <f t="shared" ref="AZ33" si="87">IF(AV33&lt;5000,5000,IF(AV33&gt;25000,25000,AV33))</f>
        <v>25000</v>
      </c>
      <c r="BA33" s="87">
        <f t="shared" ref="BA33" si="88">IF(F$9="E1",AW33,IF(F$9="E2",AX33,IF(F$9="E3",AY33,IF(F$9="E4",AZ33,0))))</f>
        <v>7500</v>
      </c>
    </row>
    <row r="34" spans="2:53">
      <c r="H34" s="38"/>
      <c r="K34" s="97"/>
      <c r="L34" s="97"/>
      <c r="M34" s="97"/>
      <c r="N34" s="97"/>
      <c r="O34" s="97"/>
      <c r="P34" s="98"/>
      <c r="Q34" s="34"/>
      <c r="R34" s="5"/>
      <c r="S34" s="107"/>
      <c r="T34" s="5"/>
      <c r="U34" s="5"/>
      <c r="V34" s="5"/>
      <c r="X34" s="87"/>
      <c r="Y34" s="87"/>
      <c r="Z34" s="87"/>
      <c r="AA34" s="87"/>
      <c r="AB34" s="87"/>
      <c r="AC34" s="87"/>
      <c r="AD34" s="87"/>
      <c r="AE34" s="87"/>
      <c r="AF34" s="36"/>
      <c r="AG34" s="36"/>
      <c r="AH34" s="87"/>
      <c r="AI34" s="87"/>
      <c r="AJ34" s="87"/>
      <c r="AK34" s="87"/>
      <c r="AL34" s="87"/>
      <c r="AM34" s="87"/>
      <c r="AN34" s="87"/>
      <c r="AO34" s="36"/>
      <c r="AP34" s="36"/>
      <c r="AQ34" s="36"/>
      <c r="AR34" s="87"/>
      <c r="AS34" s="37"/>
      <c r="AT34" s="37"/>
      <c r="AU34" s="37"/>
      <c r="AV34" s="37"/>
      <c r="AW34" s="37"/>
      <c r="AX34" s="37"/>
      <c r="AY34" s="37"/>
      <c r="AZ34" s="37"/>
      <c r="BA34" s="87"/>
    </row>
    <row r="35" spans="2:53">
      <c r="B35" s="39" t="s">
        <v>132</v>
      </c>
      <c r="H35" s="38"/>
      <c r="R35" s="5"/>
      <c r="S35" s="5"/>
      <c r="T35" s="5"/>
      <c r="U35" s="5"/>
      <c r="V35" s="5"/>
      <c r="X35" s="4"/>
      <c r="Y35" s="4"/>
      <c r="Z35" s="4"/>
      <c r="AA35" s="4"/>
      <c r="AB35" s="4"/>
      <c r="AC35" s="4"/>
      <c r="AD35" s="4"/>
      <c r="AE35" s="4"/>
      <c r="AF35" s="36"/>
      <c r="AG35" s="36"/>
      <c r="AH35" s="4"/>
      <c r="AI35" s="4"/>
      <c r="AO35" s="36"/>
      <c r="AP35" s="36"/>
      <c r="AQ35" s="36"/>
      <c r="AR35" s="87" t="s">
        <v>27</v>
      </c>
      <c r="AT35" s="4"/>
      <c r="AU35" s="4"/>
      <c r="AV35" s="4"/>
      <c r="BA35" s="4"/>
    </row>
    <row r="36" spans="2:53">
      <c r="B36" s="58">
        <f>IF(AR36,COUNTIF(AR$14:AR36,TRUE),"")</f>
        <v>19</v>
      </c>
      <c r="C36" s="40">
        <f t="shared" ref="C36:C43" si="89">IF(AR36,W14," ")</f>
        <v>-35.15</v>
      </c>
      <c r="D36" s="40">
        <f>IF(AR36,AL$5-(X14-AL$5)," ")</f>
        <v>-35.1</v>
      </c>
      <c r="E36" s="1">
        <f t="shared" ref="E36:E43" si="90">IF(AR36,Y14," ")</f>
        <v>15.4</v>
      </c>
      <c r="F36" s="41">
        <f t="shared" ref="F36:F43" si="91">IF(AR36,-Z14," ")</f>
        <v>26</v>
      </c>
      <c r="G36" s="41">
        <f t="shared" ref="G36:G43" si="92">IF(AR36,AA14," ")</f>
        <v>62</v>
      </c>
      <c r="H36" s="42">
        <f t="shared" ref="H36:H43" si="93">IF(AR36,AB14," ")</f>
        <v>2.5000000000000001E-2</v>
      </c>
      <c r="K36" s="43">
        <f>IF(AR36,AF36,"")</f>
        <v>-9.1180594535333803</v>
      </c>
      <c r="L36" s="43">
        <f>IF(AR36,AG36,"")</f>
        <v>-22.403374251879235</v>
      </c>
      <c r="M36" s="44">
        <f>IF(AR36,AH36,"")</f>
        <v>0</v>
      </c>
      <c r="O36" s="43">
        <f t="shared" ref="O36:O43" si="94">IF(AR36,AD36,"")</f>
        <v>140.24440274035894</v>
      </c>
      <c r="P36" s="32">
        <f t="shared" ref="P36:P44" si="95">IF(AR36,IF(AQ36&lt;=0,"onzichtbaar",AQ36),"")</f>
        <v>1.7849176958662366E-2</v>
      </c>
      <c r="Q36" s="100"/>
      <c r="R36" s="34"/>
      <c r="S36" s="95">
        <v>100</v>
      </c>
      <c r="T36" s="34"/>
      <c r="U36" s="34"/>
      <c r="V36" s="34"/>
      <c r="X36" s="35"/>
      <c r="Y36" s="35"/>
      <c r="Z36" s="35"/>
      <c r="AA36" s="35"/>
      <c r="AB36" s="35"/>
      <c r="AC36" s="4"/>
      <c r="AD36" s="35">
        <f t="shared" ref="AD36:AD43" si="96">SQRT(($W$9-$C36)^2+($X$9-$D36)^2+($Y$9-$E36)^2)</f>
        <v>140.24440274035894</v>
      </c>
      <c r="AE36" s="4">
        <f t="shared" ref="AE36:AE39" si="97">IF(G36&gt;=90,NA(),E36*TAN(RADIANS(G36)))</f>
        <v>28.963187566333509</v>
      </c>
      <c r="AF36" s="36">
        <f t="shared" ref="AF36:AF43" si="98">IF(G36&gt;=90,NA(),COS(RADIANS(F36))*AE36+C36)</f>
        <v>-9.1180594535333803</v>
      </c>
      <c r="AG36" s="36">
        <f t="shared" ref="AG36:AG43" si="99">IF(G36&gt;=90,NA(),SIN(RADIANS(F36))*AE36+D36)</f>
        <v>-22.403374251879235</v>
      </c>
      <c r="AH36" s="4">
        <f t="shared" ref="AH36:AH39" si="100">IF(G36&gt;=90,NA(),0)</f>
        <v>0</v>
      </c>
      <c r="AI36" s="35">
        <f t="shared" ref="AI36:AI39" si="101">COS(RADIANS(F36))*COS(RADIANS(G36-90))</f>
        <v>0.79358803965578451</v>
      </c>
      <c r="AJ36" s="35">
        <f t="shared" ref="AJ36:AJ39" si="102">SIN(RADIANS(F36))*COS(RADIANS(G36-90))</f>
        <v>0.38705874883622321</v>
      </c>
      <c r="AK36" s="35">
        <f t="shared" ref="AK36:AK39" si="103">SIN(RADIANS(G36-90))</f>
        <v>-0.46947156278589081</v>
      </c>
      <c r="AL36" s="35">
        <f t="shared" ref="AL36:AN43" si="104">W$9-C36</f>
        <v>135.15</v>
      </c>
      <c r="AM36" s="35">
        <f t="shared" si="104"/>
        <v>-34.9</v>
      </c>
      <c r="AN36" s="35">
        <f t="shared" si="104"/>
        <v>-13.6</v>
      </c>
      <c r="AO36" s="36">
        <f t="shared" ref="AO36:AO39" si="105">(AI36*AL36+AJ36*AM36+AK36*AN36)/(SQRT(AI36^2+AJ36^2+AK36^2)*SQRT(AL36^2+AM36^2+AN36^2))</f>
        <v>0.71396707834649464</v>
      </c>
      <c r="AP36" s="36">
        <f t="shared" ref="AP36:AP39" si="106">DEGREES(ACOS(AO36))</f>
        <v>44.441388679457695</v>
      </c>
      <c r="AQ36" s="36">
        <f t="shared" ref="AQ36:AQ43" si="107">H36*AO36</f>
        <v>1.7849176958662366E-2</v>
      </c>
      <c r="AR36" s="4" t="b">
        <f>NOT(ISERROR(FIND("Y",UPPER(I14))))</f>
        <v>1</v>
      </c>
      <c r="AS36" s="37">
        <f t="shared" ref="AS36:AS44" si="108">IF(P36&lt;=0.002,AT$4*O36,IF(P36&lt;=0.01,AU$4*O36,IF(P36&lt;=0.03,AV$4*O36,IF(P36&lt;=0.13,AW$4*O36,IF(P36&lt;=0.5,AX$4*O36,AY$4)))))</f>
        <v>237.01304063120659</v>
      </c>
      <c r="AT36" s="37">
        <f t="shared" ref="AT36:AT44" si="109">IF(P36&lt;=0.002,AT$5*O36,IF(P36&lt;=0.01,AU$5*O36,IF(P36&lt;=0.03,AV$5*O36,IF(P36&lt;=0.13,AW$5*O36,IF(P36&lt;=0.5,AX$5*O36,AY$5)))))</f>
        <v>455.79430890616652</v>
      </c>
      <c r="AU36" s="37">
        <f t="shared" ref="AU36:AU44" si="110">IF(P36&lt;=0.002,AT$6*O36,IF(P36&lt;=0.01,AU$6*O36,IF(P36&lt;=0.03,AV$6*O36,IF(P36&lt;=0.13,AW$6*O36,IF(P36&lt;=0.5,AX$6*O36,AY$6)))))</f>
        <v>692.80734953737317</v>
      </c>
      <c r="AV36" s="37">
        <f t="shared" ref="AV36:AV44" si="111">IF(P36&lt;=0.002,AT$7*O36,IF(P36&lt;=0.01,AU$7*O36,IF(P36&lt;=0.03,AV$7*O36,IF(P36&lt;=0.13,AW$7*O36,IF(P36&lt;=0.5,AX$7*O36,AY$7)))))</f>
        <v>1148.6016584435397</v>
      </c>
      <c r="AW36" s="37">
        <f t="shared" ref="AW36:AW44" si="112">IF(AS36&lt;500,500,IF(AS36&gt;2500,2500,AS36))</f>
        <v>500</v>
      </c>
      <c r="AX36" s="37">
        <f t="shared" ref="AX36:AX44" si="113">IF(AT36&lt;2500,2500,IF(AT36&gt;7500,7500,AT36))</f>
        <v>2500</v>
      </c>
      <c r="AY36" s="37">
        <f t="shared" ref="AY36:AY44" si="114">IF(AU36&lt;2500,2500,IF(AU36&gt;10000,10000,AU36))</f>
        <v>2500</v>
      </c>
      <c r="AZ36" s="37">
        <f t="shared" ref="AZ36:AZ44" si="115">IF(AV36&lt;5000,5000,IF(AV36&gt;25000,25000,AV36))</f>
        <v>5000</v>
      </c>
      <c r="BA36" s="4">
        <f t="shared" ref="BA36:BA44" si="116">IF(F$9="E1",AW36,IF(F$9="E2",AX36,IF(F$9="E3",AY36,IF(F$9="E4",AZ36,0))))</f>
        <v>2500</v>
      </c>
    </row>
    <row r="37" spans="2:53">
      <c r="B37" s="18">
        <f>IF(AR37,COUNTIF(AR$14:AR37,TRUE),"")</f>
        <v>20</v>
      </c>
      <c r="C37" s="40">
        <f t="shared" si="89"/>
        <v>-35.049999999999997</v>
      </c>
      <c r="D37" s="40">
        <f t="shared" ref="D37:D43" si="117">IF(AR37,AL$5-(X15-AL$5)," ")</f>
        <v>-35.1</v>
      </c>
      <c r="E37" s="1">
        <f t="shared" si="90"/>
        <v>15.3</v>
      </c>
      <c r="F37" s="41">
        <f t="shared" si="91"/>
        <v>23</v>
      </c>
      <c r="G37" s="41">
        <f t="shared" si="92"/>
        <v>62</v>
      </c>
      <c r="H37" s="42">
        <f t="shared" si="93"/>
        <v>2.5000000000000001E-2</v>
      </c>
      <c r="K37" s="43">
        <f t="shared" ref="K37:K43" si="118">IF(AR37,AF37,"")</f>
        <v>-8.5623670576734021</v>
      </c>
      <c r="L37" s="43">
        <f t="shared" ref="L37:L43" si="119">IF(AR37,AG37,"")</f>
        <v>-23.856666874978448</v>
      </c>
      <c r="M37" s="44">
        <f t="shared" ref="M37:M43" si="120">IF(AR37,AH37,"")</f>
        <v>0</v>
      </c>
      <c r="O37" s="43">
        <f t="shared" si="94"/>
        <v>140.13836912137947</v>
      </c>
      <c r="P37" s="32">
        <f t="shared" si="95"/>
        <v>1.8563874374277627E-2</v>
      </c>
      <c r="Q37" s="100"/>
      <c r="R37" s="34"/>
      <c r="S37" s="95">
        <v>110</v>
      </c>
      <c r="T37" s="34"/>
      <c r="U37" s="34"/>
      <c r="V37" s="34"/>
      <c r="X37" s="35"/>
      <c r="Y37" s="35"/>
      <c r="Z37" s="35"/>
      <c r="AA37" s="35"/>
      <c r="AB37" s="35"/>
      <c r="AC37" s="4"/>
      <c r="AD37" s="35">
        <f t="shared" si="96"/>
        <v>140.13836912137947</v>
      </c>
      <c r="AE37" s="4">
        <f t="shared" si="97"/>
        <v>28.775114919798877</v>
      </c>
      <c r="AF37" s="36">
        <f t="shared" si="98"/>
        <v>-8.5623670576734021</v>
      </c>
      <c r="AG37" s="36">
        <f t="shared" si="99"/>
        <v>-23.856666874978448</v>
      </c>
      <c r="AH37" s="4">
        <f t="shared" si="100"/>
        <v>0</v>
      </c>
      <c r="AI37" s="35">
        <f t="shared" si="101"/>
        <v>0.81275754457079152</v>
      </c>
      <c r="AJ37" s="35">
        <f t="shared" si="102"/>
        <v>0.34499510935465638</v>
      </c>
      <c r="AK37" s="35">
        <f t="shared" si="103"/>
        <v>-0.46947156278589081</v>
      </c>
      <c r="AL37" s="35">
        <f t="shared" si="104"/>
        <v>135.05000000000001</v>
      </c>
      <c r="AM37" s="35">
        <f t="shared" si="104"/>
        <v>-34.9</v>
      </c>
      <c r="AN37" s="35">
        <f t="shared" si="104"/>
        <v>-13.5</v>
      </c>
      <c r="AO37" s="36">
        <f t="shared" si="105"/>
        <v>0.74255497497110512</v>
      </c>
      <c r="AP37" s="36">
        <f t="shared" si="106"/>
        <v>42.050482553399597</v>
      </c>
      <c r="AQ37" s="36">
        <f t="shared" si="107"/>
        <v>1.8563874374277627E-2</v>
      </c>
      <c r="AR37" s="4" t="b">
        <f t="shared" ref="AR37:AR43" si="121">NOT(ISERROR(FIND("Y",UPPER(I15))))</f>
        <v>1</v>
      </c>
      <c r="AS37" s="37">
        <f t="shared" si="108"/>
        <v>236.8338438151313</v>
      </c>
      <c r="AT37" s="37">
        <f t="shared" si="109"/>
        <v>455.4496996444833</v>
      </c>
      <c r="AU37" s="37">
        <f t="shared" si="110"/>
        <v>692.28354345961463</v>
      </c>
      <c r="AV37" s="37">
        <f t="shared" si="111"/>
        <v>1147.7332431040977</v>
      </c>
      <c r="AW37" s="37">
        <f t="shared" si="112"/>
        <v>500</v>
      </c>
      <c r="AX37" s="37">
        <f t="shared" si="113"/>
        <v>2500</v>
      </c>
      <c r="AY37" s="37">
        <f t="shared" si="114"/>
        <v>2500</v>
      </c>
      <c r="AZ37" s="37">
        <f t="shared" si="115"/>
        <v>5000</v>
      </c>
      <c r="BA37" s="4">
        <f t="shared" si="116"/>
        <v>2500</v>
      </c>
    </row>
    <row r="38" spans="2:53">
      <c r="B38" s="18">
        <f>IF(AR38,COUNTIF(AR$14:AR38,TRUE),"")</f>
        <v>21</v>
      </c>
      <c r="C38" s="40">
        <f t="shared" si="89"/>
        <v>-34.950000000000003</v>
      </c>
      <c r="D38" s="40">
        <f t="shared" si="117"/>
        <v>-35.1</v>
      </c>
      <c r="E38" s="1">
        <f t="shared" si="90"/>
        <v>15.2</v>
      </c>
      <c r="F38" s="41">
        <f t="shared" si="91"/>
        <v>20</v>
      </c>
      <c r="G38" s="41">
        <f t="shared" si="92"/>
        <v>62</v>
      </c>
      <c r="H38" s="42">
        <f t="shared" si="93"/>
        <v>2.5000000000000001E-2</v>
      </c>
      <c r="K38" s="43">
        <f t="shared" si="118"/>
        <v>-8.0869673257187742</v>
      </c>
      <c r="L38" s="43">
        <f t="shared" si="119"/>
        <v>-25.322655704441217</v>
      </c>
      <c r="M38" s="44">
        <f t="shared" si="120"/>
        <v>0</v>
      </c>
      <c r="O38" s="43">
        <f t="shared" si="94"/>
        <v>140.0323980370257</v>
      </c>
      <c r="P38" s="32">
        <f t="shared" si="95"/>
        <v>1.9231181401753731E-2</v>
      </c>
      <c r="Q38" s="100"/>
      <c r="R38" s="34"/>
      <c r="S38" s="95">
        <v>120</v>
      </c>
      <c r="T38" s="34"/>
      <c r="U38" s="34"/>
      <c r="V38" s="34"/>
      <c r="X38" s="35"/>
      <c r="Y38" s="35"/>
      <c r="Z38" s="35"/>
      <c r="AA38" s="35"/>
      <c r="AB38" s="35"/>
      <c r="AC38" s="4"/>
      <c r="AD38" s="35">
        <f t="shared" si="96"/>
        <v>140.0323980370257</v>
      </c>
      <c r="AE38" s="4">
        <f t="shared" si="97"/>
        <v>28.587042273264242</v>
      </c>
      <c r="AF38" s="36">
        <f t="shared" si="98"/>
        <v>-8.0869673257187742</v>
      </c>
      <c r="AG38" s="36">
        <f t="shared" si="99"/>
        <v>-25.322655704441217</v>
      </c>
      <c r="AH38" s="4">
        <f t="shared" si="100"/>
        <v>0</v>
      </c>
      <c r="AI38" s="35">
        <f t="shared" si="101"/>
        <v>0.8296993375502143</v>
      </c>
      <c r="AJ38" s="35">
        <f t="shared" si="102"/>
        <v>0.30198586225866442</v>
      </c>
      <c r="AK38" s="35">
        <f t="shared" si="103"/>
        <v>-0.46947156278589081</v>
      </c>
      <c r="AL38" s="35">
        <f t="shared" si="104"/>
        <v>134.94999999999999</v>
      </c>
      <c r="AM38" s="35">
        <f t="shared" si="104"/>
        <v>-34.9</v>
      </c>
      <c r="AN38" s="35">
        <f t="shared" si="104"/>
        <v>-13.399999999999999</v>
      </c>
      <c r="AO38" s="36">
        <f t="shared" si="105"/>
        <v>0.76924725607014921</v>
      </c>
      <c r="AP38" s="36">
        <f t="shared" si="106"/>
        <v>39.71365885348434</v>
      </c>
      <c r="AQ38" s="36">
        <f t="shared" si="107"/>
        <v>1.9231181401753731E-2</v>
      </c>
      <c r="AR38" s="4" t="b">
        <f t="shared" si="121"/>
        <v>1</v>
      </c>
      <c r="AS38" s="37">
        <f t="shared" si="108"/>
        <v>236.65475268257342</v>
      </c>
      <c r="AT38" s="37">
        <f t="shared" si="109"/>
        <v>455.10529362033355</v>
      </c>
      <c r="AU38" s="37">
        <f t="shared" si="110"/>
        <v>691.76004630290697</v>
      </c>
      <c r="AV38" s="37">
        <f t="shared" si="111"/>
        <v>1146.8653399232405</v>
      </c>
      <c r="AW38" s="37">
        <f t="shared" si="112"/>
        <v>500</v>
      </c>
      <c r="AX38" s="37">
        <f t="shared" si="113"/>
        <v>2500</v>
      </c>
      <c r="AY38" s="37">
        <f t="shared" si="114"/>
        <v>2500</v>
      </c>
      <c r="AZ38" s="37">
        <f t="shared" si="115"/>
        <v>5000</v>
      </c>
      <c r="BA38" s="4">
        <f t="shared" si="116"/>
        <v>2500</v>
      </c>
    </row>
    <row r="39" spans="2:53">
      <c r="B39" s="18">
        <f>IF(AR39,COUNTIF(AR$14:AR39,TRUE),"")</f>
        <v>22</v>
      </c>
      <c r="C39" s="40">
        <f t="shared" si="89"/>
        <v>-34.85</v>
      </c>
      <c r="D39" s="40">
        <f t="shared" si="117"/>
        <v>-35.1</v>
      </c>
      <c r="E39" s="1">
        <f t="shared" si="90"/>
        <v>15.1</v>
      </c>
      <c r="F39" s="41">
        <f t="shared" si="91"/>
        <v>17</v>
      </c>
      <c r="G39" s="41">
        <f t="shared" si="92"/>
        <v>62</v>
      </c>
      <c r="H39" s="42">
        <f t="shared" si="93"/>
        <v>2.5000000000000001E-2</v>
      </c>
      <c r="K39" s="43">
        <f t="shared" si="118"/>
        <v>-7.6919302815086859</v>
      </c>
      <c r="L39" s="43">
        <f t="shared" si="119"/>
        <v>-26.79694483786384</v>
      </c>
      <c r="M39" s="44">
        <f t="shared" si="120"/>
        <v>0</v>
      </c>
      <c r="O39" s="43">
        <f t="shared" si="94"/>
        <v>139.92648962937645</v>
      </c>
      <c r="P39" s="32">
        <f t="shared" si="95"/>
        <v>1.9849255005680765E-2</v>
      </c>
      <c r="Q39" s="100"/>
      <c r="R39" s="34"/>
      <c r="S39" s="95">
        <v>130</v>
      </c>
      <c r="T39" s="34"/>
      <c r="U39" s="34"/>
      <c r="V39" s="34"/>
      <c r="X39" s="35"/>
      <c r="Y39" s="35"/>
      <c r="Z39" s="35"/>
      <c r="AA39" s="35"/>
      <c r="AB39" s="35"/>
      <c r="AC39" s="4"/>
      <c r="AD39" s="35">
        <f t="shared" si="96"/>
        <v>139.92648962937645</v>
      </c>
      <c r="AE39" s="4">
        <f t="shared" si="97"/>
        <v>28.39896962672961</v>
      </c>
      <c r="AF39" s="36">
        <f t="shared" si="98"/>
        <v>-7.6919302815086859</v>
      </c>
      <c r="AG39" s="36">
        <f t="shared" si="99"/>
        <v>-26.79694483786384</v>
      </c>
      <c r="AH39" s="4">
        <f t="shared" si="100"/>
        <v>0</v>
      </c>
      <c r="AI39" s="35">
        <f t="shared" si="101"/>
        <v>0.84436698231710572</v>
      </c>
      <c r="AJ39" s="35">
        <f t="shared" si="102"/>
        <v>0.25814889290500143</v>
      </c>
      <c r="AK39" s="35">
        <f t="shared" si="103"/>
        <v>-0.46947156278589081</v>
      </c>
      <c r="AL39" s="35">
        <f t="shared" si="104"/>
        <v>134.85</v>
      </c>
      <c r="AM39" s="35">
        <f t="shared" si="104"/>
        <v>-34.9</v>
      </c>
      <c r="AN39" s="35">
        <f t="shared" si="104"/>
        <v>-13.299999999999999</v>
      </c>
      <c r="AO39" s="36">
        <f t="shared" si="105"/>
        <v>0.79397020022723053</v>
      </c>
      <c r="AP39" s="36">
        <f t="shared" si="106"/>
        <v>37.441903604985377</v>
      </c>
      <c r="AQ39" s="36">
        <f t="shared" si="107"/>
        <v>1.9849255005680765E-2</v>
      </c>
      <c r="AR39" s="4" t="b">
        <f t="shared" si="121"/>
        <v>1</v>
      </c>
      <c r="AS39" s="37">
        <f t="shared" si="108"/>
        <v>236.47576747364619</v>
      </c>
      <c r="AT39" s="37">
        <f t="shared" si="109"/>
        <v>454.76109129547348</v>
      </c>
      <c r="AU39" s="37">
        <f t="shared" si="110"/>
        <v>691.23685876911975</v>
      </c>
      <c r="AV39" s="37">
        <f t="shared" si="111"/>
        <v>1145.9979500645929</v>
      </c>
      <c r="AW39" s="37">
        <f t="shared" si="112"/>
        <v>500</v>
      </c>
      <c r="AX39" s="37">
        <f t="shared" si="113"/>
        <v>2500</v>
      </c>
      <c r="AY39" s="37">
        <f t="shared" si="114"/>
        <v>2500</v>
      </c>
      <c r="AZ39" s="37">
        <f t="shared" si="115"/>
        <v>5000</v>
      </c>
      <c r="BA39" s="4">
        <f t="shared" si="116"/>
        <v>2500</v>
      </c>
    </row>
    <row r="40" spans="2:53">
      <c r="B40" s="18">
        <f>IF(AR40,COUNTIF(AR$14:AR40,TRUE),"")</f>
        <v>23</v>
      </c>
      <c r="C40" s="40">
        <f t="shared" si="89"/>
        <v>-35.15</v>
      </c>
      <c r="D40" s="40">
        <f t="shared" si="117"/>
        <v>-34.9</v>
      </c>
      <c r="E40" s="1">
        <f t="shared" si="90"/>
        <v>15.4</v>
      </c>
      <c r="F40" s="41">
        <f t="shared" si="91"/>
        <v>14</v>
      </c>
      <c r="G40" s="41">
        <f t="shared" si="92"/>
        <v>62</v>
      </c>
      <c r="H40" s="42">
        <f t="shared" si="93"/>
        <v>2.5000000000000001E-2</v>
      </c>
      <c r="K40" s="43">
        <f t="shared" si="118"/>
        <v>-7.0471428850565161</v>
      </c>
      <c r="L40" s="43">
        <f t="shared" si="119"/>
        <v>-27.893170761343868</v>
      </c>
      <c r="M40" s="44">
        <f t="shared" si="120"/>
        <v>0</v>
      </c>
      <c r="O40" s="43">
        <f t="shared" si="94"/>
        <v>140.29430672696594</v>
      </c>
      <c r="P40" s="32">
        <f t="shared" si="95"/>
        <v>2.0434372630667563E-2</v>
      </c>
      <c r="Q40" s="100"/>
      <c r="R40" s="34"/>
      <c r="S40" s="95">
        <v>140</v>
      </c>
      <c r="T40" s="34"/>
      <c r="U40" s="34"/>
      <c r="V40" s="34"/>
      <c r="X40" s="35"/>
      <c r="Y40" s="35"/>
      <c r="Z40" s="35"/>
      <c r="AA40" s="35"/>
      <c r="AB40" s="35"/>
      <c r="AC40" s="4"/>
      <c r="AD40" s="35">
        <f t="shared" si="96"/>
        <v>140.29430672696594</v>
      </c>
      <c r="AE40" s="4">
        <f t="shared" ref="AE40:AE43" si="122">IF(G40&gt;=90,NA(),E40*TAN(RADIANS(G40)))</f>
        <v>28.963187566333509</v>
      </c>
      <c r="AF40" s="36">
        <f t="shared" si="98"/>
        <v>-7.0471428850565161</v>
      </c>
      <c r="AG40" s="36">
        <f t="shared" si="99"/>
        <v>-27.893170761343868</v>
      </c>
      <c r="AH40" s="4">
        <f t="shared" ref="AH40:AH43" si="123">IF(G40&gt;=90,NA(),0)</f>
        <v>0</v>
      </c>
      <c r="AI40" s="35">
        <f t="shared" ref="AI40:AI43" si="124">COS(RADIANS(F40))*COS(RADIANS(G40-90))</f>
        <v>0.85672027587669541</v>
      </c>
      <c r="AJ40" s="35">
        <f t="shared" ref="AJ40:AJ43" si="125">SIN(RADIANS(F40))*COS(RADIANS(G40-90))</f>
        <v>0.21360435537959527</v>
      </c>
      <c r="AK40" s="35">
        <f t="shared" ref="AK40:AK43" si="126">SIN(RADIANS(G40-90))</f>
        <v>-0.46947156278589081</v>
      </c>
      <c r="AL40" s="35">
        <f t="shared" si="104"/>
        <v>135.15</v>
      </c>
      <c r="AM40" s="35">
        <f t="shared" si="104"/>
        <v>-35.1</v>
      </c>
      <c r="AN40" s="35">
        <f t="shared" si="104"/>
        <v>-13.6</v>
      </c>
      <c r="AO40" s="36">
        <f t="shared" ref="AO40:AO43" si="127">(AI40*AL40+AJ40*AM40+AK40*AN40)/(SQRT(AI40^2+AJ40^2+AK40^2)*SQRT(AL40^2+AM40^2+AN40^2))</f>
        <v>0.81737490522670242</v>
      </c>
      <c r="AP40" s="36">
        <f t="shared" ref="AP40:AP43" si="128">DEGREES(ACOS(AO40))</f>
        <v>35.177131480339824</v>
      </c>
      <c r="AQ40" s="36">
        <f t="shared" si="107"/>
        <v>2.0434372630667563E-2</v>
      </c>
      <c r="AR40" s="4" t="b">
        <f t="shared" si="121"/>
        <v>1</v>
      </c>
      <c r="AS40" s="37">
        <f t="shared" si="108"/>
        <v>237.09737836857244</v>
      </c>
      <c r="AT40" s="37">
        <f t="shared" si="109"/>
        <v>455.95649686263931</v>
      </c>
      <c r="AU40" s="37">
        <f t="shared" si="110"/>
        <v>693.0538752312118</v>
      </c>
      <c r="AV40" s="37">
        <f t="shared" si="111"/>
        <v>1149.0103720938509</v>
      </c>
      <c r="AW40" s="37">
        <f t="shared" si="112"/>
        <v>500</v>
      </c>
      <c r="AX40" s="37">
        <f t="shared" si="113"/>
        <v>2500</v>
      </c>
      <c r="AY40" s="37">
        <f t="shared" si="114"/>
        <v>2500</v>
      </c>
      <c r="AZ40" s="37">
        <f t="shared" si="115"/>
        <v>5000</v>
      </c>
      <c r="BA40" s="4">
        <f t="shared" si="116"/>
        <v>2500</v>
      </c>
    </row>
    <row r="41" spans="2:53">
      <c r="B41" s="18">
        <f>IF(AR41,COUNTIF(AR$14:AR41,TRUE),"")</f>
        <v>24</v>
      </c>
      <c r="C41" s="40">
        <f t="shared" si="89"/>
        <v>-35.049999999999997</v>
      </c>
      <c r="D41" s="40">
        <f t="shared" si="117"/>
        <v>-34.9</v>
      </c>
      <c r="E41" s="1">
        <f t="shared" si="90"/>
        <v>15.3</v>
      </c>
      <c r="F41" s="41">
        <f t="shared" si="91"/>
        <v>11</v>
      </c>
      <c r="G41" s="41">
        <f t="shared" si="92"/>
        <v>62</v>
      </c>
      <c r="H41" s="42">
        <f t="shared" si="93"/>
        <v>2.5000000000000001E-2</v>
      </c>
      <c r="K41" s="43">
        <f t="shared" si="118"/>
        <v>-6.8035649878949727</v>
      </c>
      <c r="L41" s="43">
        <f t="shared" si="119"/>
        <v>-29.40944923030855</v>
      </c>
      <c r="M41" s="44">
        <f t="shared" si="120"/>
        <v>0</v>
      </c>
      <c r="O41" s="43">
        <f t="shared" si="94"/>
        <v>140.18831085365142</v>
      </c>
      <c r="P41" s="32">
        <f t="shared" si="95"/>
        <v>2.0949620483870578E-2</v>
      </c>
      <c r="Q41" s="100"/>
      <c r="R41" s="34"/>
      <c r="S41" s="95">
        <v>150</v>
      </c>
      <c r="T41" s="34"/>
      <c r="U41" s="34"/>
      <c r="V41" s="34"/>
      <c r="X41" s="35"/>
      <c r="Y41" s="35"/>
      <c r="Z41" s="35"/>
      <c r="AA41" s="35"/>
      <c r="AB41" s="35"/>
      <c r="AC41" s="4"/>
      <c r="AD41" s="35">
        <f t="shared" si="96"/>
        <v>140.18831085365142</v>
      </c>
      <c r="AE41" s="4">
        <f t="shared" si="122"/>
        <v>28.775114919798877</v>
      </c>
      <c r="AF41" s="36">
        <f t="shared" si="98"/>
        <v>-6.8035649878949727</v>
      </c>
      <c r="AG41" s="36">
        <f t="shared" si="99"/>
        <v>-29.40944923030855</v>
      </c>
      <c r="AH41" s="4">
        <f t="shared" si="123"/>
        <v>0</v>
      </c>
      <c r="AI41" s="35">
        <f t="shared" si="124"/>
        <v>0.86672535871000322</v>
      </c>
      <c r="AJ41" s="35">
        <f t="shared" si="125"/>
        <v>0.16847434316355037</v>
      </c>
      <c r="AK41" s="35">
        <f t="shared" si="126"/>
        <v>-0.46947156278589081</v>
      </c>
      <c r="AL41" s="35">
        <f t="shared" si="104"/>
        <v>135.05000000000001</v>
      </c>
      <c r="AM41" s="35">
        <f t="shared" si="104"/>
        <v>-35.1</v>
      </c>
      <c r="AN41" s="35">
        <f t="shared" si="104"/>
        <v>-13.5</v>
      </c>
      <c r="AO41" s="36">
        <f t="shared" si="127"/>
        <v>0.83798481935482305</v>
      </c>
      <c r="AP41" s="36">
        <f t="shared" si="128"/>
        <v>33.07207066113844</v>
      </c>
      <c r="AQ41" s="36">
        <f t="shared" si="107"/>
        <v>2.0949620483870578E-2</v>
      </c>
      <c r="AR41" s="4" t="b">
        <f t="shared" si="121"/>
        <v>1</v>
      </c>
      <c r="AS41" s="37">
        <f t="shared" si="108"/>
        <v>236.91824534267087</v>
      </c>
      <c r="AT41" s="37">
        <f t="shared" si="109"/>
        <v>455.61201027436709</v>
      </c>
      <c r="AU41" s="37">
        <f t="shared" si="110"/>
        <v>692.53025561703805</v>
      </c>
      <c r="AV41" s="37">
        <f t="shared" si="111"/>
        <v>1148.142265891405</v>
      </c>
      <c r="AW41" s="37">
        <f t="shared" si="112"/>
        <v>500</v>
      </c>
      <c r="AX41" s="37">
        <f t="shared" si="113"/>
        <v>2500</v>
      </c>
      <c r="AY41" s="37">
        <f t="shared" si="114"/>
        <v>2500</v>
      </c>
      <c r="AZ41" s="37">
        <f t="shared" si="115"/>
        <v>5000</v>
      </c>
      <c r="BA41" s="4">
        <f t="shared" si="116"/>
        <v>2500</v>
      </c>
    </row>
    <row r="42" spans="2:53">
      <c r="B42" s="18">
        <f>IF(AR42,COUNTIF(AR$14:AR42,TRUE),"")</f>
        <v>25</v>
      </c>
      <c r="C42" s="40">
        <f t="shared" si="89"/>
        <v>-34.950000000000003</v>
      </c>
      <c r="D42" s="40">
        <f t="shared" si="117"/>
        <v>-34.9</v>
      </c>
      <c r="E42" s="1">
        <f t="shared" si="90"/>
        <v>15.2</v>
      </c>
      <c r="F42" s="41">
        <f t="shared" si="91"/>
        <v>8</v>
      </c>
      <c r="G42" s="41">
        <f t="shared" si="92"/>
        <v>62</v>
      </c>
      <c r="H42" s="42">
        <f t="shared" si="93"/>
        <v>2.5000000000000001E-2</v>
      </c>
      <c r="K42" s="43">
        <f t="shared" si="118"/>
        <v>-6.6411648570209891</v>
      </c>
      <c r="L42" s="43">
        <f t="shared" si="119"/>
        <v>-30.921452679553337</v>
      </c>
      <c r="M42" s="44">
        <f t="shared" si="120"/>
        <v>0</v>
      </c>
      <c r="O42" s="43">
        <f t="shared" si="94"/>
        <v>140.08237754978319</v>
      </c>
      <c r="P42" s="32">
        <f t="shared" si="95"/>
        <v>2.1410959154963303E-2</v>
      </c>
      <c r="Q42" s="100"/>
      <c r="R42" s="34"/>
      <c r="S42" s="95">
        <v>160</v>
      </c>
      <c r="T42" s="34"/>
      <c r="U42" s="34"/>
      <c r="V42" s="34"/>
      <c r="X42" s="35"/>
      <c r="Y42" s="35"/>
      <c r="Z42" s="35"/>
      <c r="AA42" s="35"/>
      <c r="AB42" s="35"/>
      <c r="AC42" s="4"/>
      <c r="AD42" s="35">
        <f t="shared" si="96"/>
        <v>140.08237754978319</v>
      </c>
      <c r="AE42" s="4">
        <f t="shared" si="122"/>
        <v>28.587042273264242</v>
      </c>
      <c r="AF42" s="36">
        <f t="shared" si="98"/>
        <v>-6.6411648570209891</v>
      </c>
      <c r="AG42" s="36">
        <f t="shared" si="99"/>
        <v>-30.921452679553337</v>
      </c>
      <c r="AH42" s="4">
        <f t="shared" si="123"/>
        <v>0</v>
      </c>
      <c r="AI42" s="35">
        <f t="shared" si="124"/>
        <v>0.87435480758042794</v>
      </c>
      <c r="AJ42" s="35">
        <f t="shared" si="125"/>
        <v>0.1228825544834022</v>
      </c>
      <c r="AK42" s="35">
        <f t="shared" si="126"/>
        <v>-0.46947156278589081</v>
      </c>
      <c r="AL42" s="35">
        <f t="shared" si="104"/>
        <v>134.94999999999999</v>
      </c>
      <c r="AM42" s="35">
        <f t="shared" si="104"/>
        <v>-35.1</v>
      </c>
      <c r="AN42" s="35">
        <f t="shared" si="104"/>
        <v>-13.399999999999999</v>
      </c>
      <c r="AO42" s="36">
        <f t="shared" si="127"/>
        <v>0.85643836619853209</v>
      </c>
      <c r="AP42" s="36">
        <f t="shared" si="128"/>
        <v>31.080995589085816</v>
      </c>
      <c r="AQ42" s="36">
        <f t="shared" si="107"/>
        <v>2.1410959154963303E-2</v>
      </c>
      <c r="AR42" s="4" t="b">
        <f t="shared" si="121"/>
        <v>1</v>
      </c>
      <c r="AS42" s="37">
        <f t="shared" si="108"/>
        <v>236.73921805913358</v>
      </c>
      <c r="AT42" s="37">
        <f t="shared" si="109"/>
        <v>455.26772703679535</v>
      </c>
      <c r="AU42" s="37">
        <f t="shared" si="110"/>
        <v>692.00694509592904</v>
      </c>
      <c r="AV42" s="37">
        <f t="shared" si="111"/>
        <v>1147.2746721327242</v>
      </c>
      <c r="AW42" s="37">
        <f t="shared" si="112"/>
        <v>500</v>
      </c>
      <c r="AX42" s="37">
        <f t="shared" si="113"/>
        <v>2500</v>
      </c>
      <c r="AY42" s="37">
        <f t="shared" si="114"/>
        <v>2500</v>
      </c>
      <c r="AZ42" s="37">
        <f t="shared" si="115"/>
        <v>5000</v>
      </c>
      <c r="BA42" s="4">
        <f t="shared" si="116"/>
        <v>2500</v>
      </c>
    </row>
    <row r="43" spans="2:53">
      <c r="B43" s="18">
        <f>IF(AR43,COUNTIF(AR$14:AR43,TRUE),"")</f>
        <v>26</v>
      </c>
      <c r="C43" s="40">
        <f t="shared" si="89"/>
        <v>-34.85</v>
      </c>
      <c r="D43" s="40">
        <f t="shared" si="117"/>
        <v>-34.9</v>
      </c>
      <c r="E43" s="1">
        <f t="shared" si="90"/>
        <v>15.1</v>
      </c>
      <c r="F43" s="41">
        <f t="shared" si="91"/>
        <v>5</v>
      </c>
      <c r="G43" s="41">
        <f t="shared" si="92"/>
        <v>62</v>
      </c>
      <c r="H43" s="42">
        <f t="shared" si="93"/>
        <v>2.5000000000000001E-2</v>
      </c>
      <c r="K43" s="43">
        <f t="shared" si="118"/>
        <v>-6.5590970265834478</v>
      </c>
      <c r="L43" s="43">
        <f t="shared" si="119"/>
        <v>-32.424866708914195</v>
      </c>
      <c r="M43" s="44">
        <f t="shared" si="120"/>
        <v>0</v>
      </c>
      <c r="O43" s="43">
        <f t="shared" si="94"/>
        <v>139.97650695741766</v>
      </c>
      <c r="P43" s="32">
        <f t="shared" si="95"/>
        <v>2.1817105860920886E-2</v>
      </c>
      <c r="Q43" s="101"/>
      <c r="R43" s="34"/>
      <c r="S43" s="95">
        <v>160</v>
      </c>
      <c r="T43" s="34"/>
      <c r="U43" s="34"/>
      <c r="V43" s="34"/>
      <c r="X43" s="35"/>
      <c r="Y43" s="35"/>
      <c r="Z43" s="35"/>
      <c r="AA43" s="35"/>
      <c r="AB43" s="35"/>
      <c r="AC43" s="4"/>
      <c r="AD43" s="35">
        <f t="shared" si="96"/>
        <v>139.97650695741766</v>
      </c>
      <c r="AE43" s="4">
        <f t="shared" si="122"/>
        <v>28.39896962672961</v>
      </c>
      <c r="AF43" s="36">
        <f t="shared" si="98"/>
        <v>-6.5590970265834478</v>
      </c>
      <c r="AG43" s="36">
        <f t="shared" si="99"/>
        <v>-32.424866708914195</v>
      </c>
      <c r="AH43" s="4">
        <f t="shared" si="123"/>
        <v>0</v>
      </c>
      <c r="AI43" s="35">
        <f t="shared" si="124"/>
        <v>0.87958771069893227</v>
      </c>
      <c r="AJ43" s="35">
        <f t="shared" si="125"/>
        <v>7.6953953262876656E-2</v>
      </c>
      <c r="AK43" s="35">
        <f t="shared" si="126"/>
        <v>-0.46947156278589081</v>
      </c>
      <c r="AL43" s="35">
        <f t="shared" si="104"/>
        <v>134.85</v>
      </c>
      <c r="AM43" s="35">
        <f t="shared" si="104"/>
        <v>-35.1</v>
      </c>
      <c r="AN43" s="35">
        <f t="shared" si="104"/>
        <v>-13.299999999999999</v>
      </c>
      <c r="AO43" s="36">
        <f t="shared" si="127"/>
        <v>0.8726842344368354</v>
      </c>
      <c r="AP43" s="36">
        <f t="shared" si="128"/>
        <v>29.227920842107672</v>
      </c>
      <c r="AQ43" s="36">
        <f t="shared" si="107"/>
        <v>2.1817105860920886E-2</v>
      </c>
      <c r="AR43" s="4" t="b">
        <f t="shared" si="121"/>
        <v>1</v>
      </c>
      <c r="AS43" s="37">
        <f t="shared" si="108"/>
        <v>236.56029675803583</v>
      </c>
      <c r="AT43" s="37">
        <f t="shared" si="109"/>
        <v>454.92364761160741</v>
      </c>
      <c r="AU43" s="37">
        <f t="shared" si="110"/>
        <v>691.48394436964327</v>
      </c>
      <c r="AV43" s="37">
        <f t="shared" si="111"/>
        <v>1146.4075919812506</v>
      </c>
      <c r="AW43" s="37">
        <f t="shared" si="112"/>
        <v>500</v>
      </c>
      <c r="AX43" s="37">
        <f t="shared" si="113"/>
        <v>2500</v>
      </c>
      <c r="AY43" s="37">
        <f t="shared" si="114"/>
        <v>2500</v>
      </c>
      <c r="AZ43" s="37">
        <f t="shared" si="115"/>
        <v>5000</v>
      </c>
      <c r="BA43" s="4">
        <f t="shared" si="116"/>
        <v>2500</v>
      </c>
    </row>
    <row r="44" spans="2:53">
      <c r="B44" s="102" t="str">
        <f>B33</f>
        <v>Gehele armatuur</v>
      </c>
      <c r="H44" s="38"/>
      <c r="O44" s="94">
        <f>AVERAGE(O36:O43)</f>
        <v>140.11039520199483</v>
      </c>
      <c r="P44" s="32">
        <f t="shared" si="95"/>
        <v>0.16010554587079681</v>
      </c>
      <c r="Q44" s="33">
        <f>IF(AR44,IF(AQ44&lt;=0,"",BA44),"")</f>
        <v>2500</v>
      </c>
      <c r="R44" s="5"/>
      <c r="S44" s="109">
        <f>IF(SUM(S36:S43)&gt;0,SUM(S36:S43),"")</f>
        <v>1070</v>
      </c>
      <c r="T44" s="5"/>
      <c r="U44" s="5"/>
      <c r="V44" s="5"/>
      <c r="X44" s="4"/>
      <c r="Y44" s="4"/>
      <c r="Z44" s="4"/>
      <c r="AA44" s="4"/>
      <c r="AB44" s="4"/>
      <c r="AC44" s="4"/>
      <c r="AD44" s="4"/>
      <c r="AE44" s="4"/>
      <c r="AF44" s="36"/>
      <c r="AG44" s="36"/>
      <c r="AH44" s="4"/>
      <c r="AI44" s="4"/>
      <c r="AO44" s="36"/>
      <c r="AP44" s="36"/>
      <c r="AQ44" s="36">
        <f>SUM(P36:P43)</f>
        <v>0.16010554587079681</v>
      </c>
      <c r="AR44" s="87" t="b">
        <f>OR(AR36,AR37,A639,AR39,AR40,AR41,AR42,AR43)</f>
        <v>1</v>
      </c>
      <c r="AS44" s="37">
        <f t="shared" si="108"/>
        <v>928.93192018922571</v>
      </c>
      <c r="AT44" s="37">
        <f t="shared" si="109"/>
        <v>1821.4351376259328</v>
      </c>
      <c r="AU44" s="37">
        <f t="shared" si="110"/>
        <v>2732.1527064388993</v>
      </c>
      <c r="AV44" s="37">
        <f t="shared" si="111"/>
        <v>4735.7313578274252</v>
      </c>
      <c r="AW44" s="37">
        <f t="shared" si="112"/>
        <v>928.93192018922571</v>
      </c>
      <c r="AX44" s="37">
        <f t="shared" si="113"/>
        <v>2500</v>
      </c>
      <c r="AY44" s="37">
        <f t="shared" si="114"/>
        <v>2732.1527064388993</v>
      </c>
      <c r="AZ44" s="37">
        <f t="shared" si="115"/>
        <v>5000</v>
      </c>
      <c r="BA44" s="87">
        <f t="shared" si="116"/>
        <v>2500</v>
      </c>
    </row>
    <row r="45" spans="2:53">
      <c r="H45" s="38"/>
      <c r="K45" s="97"/>
      <c r="L45" s="97"/>
      <c r="M45" s="97"/>
      <c r="N45" s="97"/>
      <c r="O45" s="97"/>
      <c r="P45" s="98"/>
      <c r="Q45" s="34"/>
      <c r="R45" s="5"/>
      <c r="S45" s="107"/>
      <c r="T45" s="5"/>
      <c r="U45" s="5"/>
      <c r="V45" s="5"/>
      <c r="X45" s="87"/>
      <c r="Y45" s="87"/>
      <c r="Z45" s="87"/>
      <c r="AA45" s="87"/>
      <c r="AB45" s="87"/>
      <c r="AC45" s="87"/>
      <c r="AD45" s="87"/>
      <c r="AE45" s="87"/>
      <c r="AF45" s="36"/>
      <c r="AG45" s="36"/>
      <c r="AH45" s="87"/>
      <c r="AI45" s="87"/>
      <c r="AJ45" s="87"/>
      <c r="AK45" s="87"/>
      <c r="AL45" s="87"/>
      <c r="AM45" s="87"/>
      <c r="AN45" s="87"/>
      <c r="AO45" s="36"/>
      <c r="AP45" s="36"/>
      <c r="AQ45" s="36"/>
      <c r="AR45" s="87"/>
      <c r="AS45" s="37"/>
      <c r="AT45" s="37"/>
      <c r="AU45" s="37"/>
      <c r="AV45" s="37"/>
      <c r="AW45" s="37"/>
      <c r="AX45" s="37"/>
      <c r="AY45" s="37"/>
      <c r="AZ45" s="37"/>
      <c r="BA45" s="87"/>
    </row>
    <row r="46" spans="2:53">
      <c r="B46" s="39" t="s">
        <v>133</v>
      </c>
      <c r="H46" s="38"/>
      <c r="R46" s="5"/>
      <c r="S46" s="5"/>
      <c r="T46" s="5"/>
      <c r="U46" s="5"/>
      <c r="V46" s="5"/>
      <c r="X46" s="4"/>
      <c r="Y46" s="4"/>
      <c r="Z46" s="4"/>
      <c r="AA46" s="4"/>
      <c r="AB46" s="4"/>
      <c r="AC46" s="4"/>
      <c r="AD46" s="4"/>
      <c r="AE46" s="4"/>
      <c r="AF46" s="36"/>
      <c r="AG46" s="36"/>
      <c r="AH46" s="4"/>
      <c r="AI46" s="4"/>
      <c r="AO46" s="36"/>
      <c r="AP46" s="36"/>
      <c r="AQ46" s="36"/>
      <c r="AR46" s="87" t="s">
        <v>24</v>
      </c>
      <c r="AT46" s="4"/>
      <c r="AU46" s="4"/>
      <c r="AV46" s="4"/>
      <c r="BA46" s="4"/>
    </row>
    <row r="47" spans="2:53">
      <c r="B47" s="58">
        <f>IF(AR47,COUNTIF(AR$14:AR47,TRUE),"")</f>
        <v>28</v>
      </c>
      <c r="C47" s="40">
        <f>IF(AR47,AL$4-(W14-AL$4)," ")</f>
        <v>35.15</v>
      </c>
      <c r="D47" s="40">
        <f>IF(AR47,AL$5-(X14-AL$5)," ")</f>
        <v>-35.1</v>
      </c>
      <c r="E47" s="1">
        <f t="shared" ref="E47:E54" si="129">IF(AR47,Y14," ")</f>
        <v>15.4</v>
      </c>
      <c r="F47" s="41">
        <f t="shared" ref="F47:F54" si="130">IF(AR47,IF(AC14&lt;=0,AC14+180,AC14-180)," ")</f>
        <v>154</v>
      </c>
      <c r="G47" s="41">
        <f t="shared" ref="G47:G54" si="131">IF(AR47,G25," ")</f>
        <v>62</v>
      </c>
      <c r="H47" s="42">
        <f t="shared" ref="H47:H54" si="132">IF(AR47,H25," ")</f>
        <v>2.5000000000000001E-2</v>
      </c>
      <c r="K47" s="43">
        <f t="shared" ref="K47:K54" si="133">IF(AR47,AF47,"")</f>
        <v>9.1180594535333803</v>
      </c>
      <c r="L47" s="43">
        <f t="shared" ref="L47:L54" si="134">IF(AR47,AG47,"")</f>
        <v>-22.403374251879235</v>
      </c>
      <c r="M47" s="44">
        <f t="shared" ref="M47:M54" si="135">IF(AR47,AH47,"")</f>
        <v>0</v>
      </c>
      <c r="O47" s="43">
        <f t="shared" ref="O47:O54" si="136">IF(AR47,AD47,"")</f>
        <v>74.889869141293062</v>
      </c>
      <c r="P47" s="32" t="str">
        <f t="shared" ref="P47:P55" si="137">IF(AR47,IF(AQ47&lt;=0,"onzichtbaar",AQ47),"")</f>
        <v>onzichtbaar</v>
      </c>
      <c r="Q47" s="100"/>
      <c r="R47" s="34"/>
      <c r="S47" s="95"/>
      <c r="T47" s="34"/>
      <c r="U47" s="34"/>
      <c r="V47" s="34"/>
      <c r="X47" s="35"/>
      <c r="Y47" s="35"/>
      <c r="Z47" s="35"/>
      <c r="AA47" s="35"/>
      <c r="AB47" s="35"/>
      <c r="AC47" s="4"/>
      <c r="AD47" s="35">
        <f t="shared" ref="AD47:AD54" si="138">SQRT(($W$9-$C47)^2+($X$9-$D47)^2+($Y$9-$E47)^2)</f>
        <v>74.889869141293062</v>
      </c>
      <c r="AE47" s="4">
        <f t="shared" ref="AE47:AE50" si="139">IF(G47&gt;=90,NA(),E47*TAN(RADIANS(G47)))</f>
        <v>28.963187566333509</v>
      </c>
      <c r="AF47" s="36">
        <f t="shared" ref="AF47:AF54" si="140">IF(G47&gt;=90,NA(),COS(RADIANS(F47))*AE47+C47)</f>
        <v>9.1180594535333803</v>
      </c>
      <c r="AG47" s="36">
        <f t="shared" ref="AG47:AG54" si="141">IF(G47&gt;=90,NA(),SIN(RADIANS(F47))*AE47+D47)</f>
        <v>-22.403374251879235</v>
      </c>
      <c r="AH47" s="4">
        <f t="shared" ref="AH47:AH50" si="142">IF(G47&gt;=90,NA(),0)</f>
        <v>0</v>
      </c>
      <c r="AI47" s="35">
        <f t="shared" ref="AI47:AI50" si="143">COS(RADIANS(F47))*COS(RADIANS(G47-90))</f>
        <v>-0.79358803965578451</v>
      </c>
      <c r="AJ47" s="35">
        <f t="shared" ref="AJ47:AJ50" si="144">SIN(RADIANS(F47))*COS(RADIANS(G47-90))</f>
        <v>0.38705874883622315</v>
      </c>
      <c r="AK47" s="35">
        <f t="shared" ref="AK47:AK50" si="145">SIN(RADIANS(G47-90))</f>
        <v>-0.46947156278589081</v>
      </c>
      <c r="AL47" s="35">
        <f t="shared" ref="AL47:AN54" si="146">W$9-C47</f>
        <v>64.849999999999994</v>
      </c>
      <c r="AM47" s="35">
        <f t="shared" si="146"/>
        <v>-34.9</v>
      </c>
      <c r="AN47" s="35">
        <f t="shared" si="146"/>
        <v>-13.6</v>
      </c>
      <c r="AO47" s="36">
        <f t="shared" ref="AO47:AO50" si="147">(AI47*AL47+AJ47*AM47+AK47*AN47)/(SQRT(AI47^2+AJ47^2+AK47^2)*SQRT(AL47^2+AM47^2+AN47^2))</f>
        <v>-0.78231838463541092</v>
      </c>
      <c r="AP47" s="36">
        <f t="shared" ref="AP47:AP50" si="148">DEGREES(ACOS(AO47))</f>
        <v>141.4733373810254</v>
      </c>
      <c r="AQ47" s="36">
        <f t="shared" ref="AQ47:AQ54" si="149">H47*AO47</f>
        <v>-1.9557959615885273E-2</v>
      </c>
      <c r="AR47" s="4" t="b">
        <f>NOT(ISERROR(FIND("XY",UPPER(I14))))</f>
        <v>1</v>
      </c>
      <c r="AS47" s="37">
        <f t="shared" ref="AS47:AS55" si="150">IF(P47&lt;=0.002,AT$4*O47,IF(P47&lt;=0.01,AU$4*O47,IF(P47&lt;=0.03,AV$4*O47,IF(P47&lt;=0.13,AW$4*O47,IF(P47&lt;=0.5,AX$4*O47,AY$4)))))</f>
        <v>2500</v>
      </c>
      <c r="AT47" s="37">
        <f t="shared" ref="AT47:AT55" si="151">IF(P47&lt;=0.002,AT$5*O47,IF(P47&lt;=0.01,AU$5*O47,IF(P47&lt;=0.03,AV$5*O47,IF(P47&lt;=0.13,AW$5*O47,IF(P47&lt;=0.5,AX$5*O47,AY$5)))))</f>
        <v>7500</v>
      </c>
      <c r="AU47" s="37">
        <f t="shared" ref="AU47:AU55" si="152">IF(P47&lt;=0.002,AT$6*O47,IF(P47&lt;=0.01,AU$6*O47,IF(P47&lt;=0.03,AV$6*O47,IF(P47&lt;=0.13,AW$6*O47,IF(P47&lt;=0.5,AX$6*O47,AY$6)))))</f>
        <v>10000</v>
      </c>
      <c r="AV47" s="37">
        <f t="shared" ref="AV47:AV55" si="153">IF(P47&lt;=0.002,AT$7*O47,IF(P47&lt;=0.01,AU$7*O47,IF(P47&lt;=0.03,AV$7*O47,IF(P47&lt;=0.13,AW$7*O47,IF(P47&lt;=0.5,AX$7*O47,AY$7)))))</f>
        <v>25000</v>
      </c>
      <c r="AW47" s="37">
        <f>IF(AS47&lt;500,500,IF(AS47&gt;2500,2500,AS47))</f>
        <v>2500</v>
      </c>
      <c r="AX47" s="37">
        <f>IF(AT47&lt;2500,2500,IF(AT47&gt;7500,7500,AT47))</f>
        <v>7500</v>
      </c>
      <c r="AY47" s="37">
        <f>IF(AU47&lt;2500,2500,IF(AU47&gt;10000,10000,AU47))</f>
        <v>10000</v>
      </c>
      <c r="AZ47" s="37">
        <f>IF(AV47&lt;5000,5000,IF(AV47&gt;25000,25000,AV47))</f>
        <v>25000</v>
      </c>
      <c r="BA47" s="4">
        <f t="shared" ref="BA47:BA55" si="154">IF(F$9="E1",AW47,IF(F$9="E2",AX47,IF(F$9="E3",AY47,IF(F$9="E4",AZ47,0))))</f>
        <v>7500</v>
      </c>
    </row>
    <row r="48" spans="2:53">
      <c r="B48" s="18">
        <f>IF(AR48,COUNTIF(AR$14:AR48,TRUE),"")</f>
        <v>29</v>
      </c>
      <c r="C48" s="40">
        <f t="shared" ref="C48:C54" si="155">IF(AR48,AL$4-(W15-AL$4)," ")</f>
        <v>35.049999999999997</v>
      </c>
      <c r="D48" s="40">
        <f t="shared" ref="D48:D54" si="156">IF(AR48,AL$5-(X15-AL$5)," ")</f>
        <v>-35.1</v>
      </c>
      <c r="E48" s="1">
        <f t="shared" si="129"/>
        <v>15.3</v>
      </c>
      <c r="F48" s="41">
        <f t="shared" si="130"/>
        <v>157</v>
      </c>
      <c r="G48" s="41">
        <f t="shared" si="131"/>
        <v>62</v>
      </c>
      <c r="H48" s="42">
        <f t="shared" si="132"/>
        <v>2.5000000000000001E-2</v>
      </c>
      <c r="K48" s="43">
        <f t="shared" si="133"/>
        <v>8.5623670576734021</v>
      </c>
      <c r="L48" s="43">
        <f t="shared" si="134"/>
        <v>-23.856666874978448</v>
      </c>
      <c r="M48" s="44">
        <f t="shared" si="135"/>
        <v>0</v>
      </c>
      <c r="O48" s="43">
        <f t="shared" si="136"/>
        <v>74.958405132446629</v>
      </c>
      <c r="P48" s="32" t="str">
        <f t="shared" si="137"/>
        <v>onzichtbaar</v>
      </c>
      <c r="Q48" s="100"/>
      <c r="R48" s="34"/>
      <c r="S48" s="95"/>
      <c r="T48" s="34"/>
      <c r="U48" s="34"/>
      <c r="V48" s="34"/>
      <c r="X48" s="35"/>
      <c r="Y48" s="35"/>
      <c r="Z48" s="35"/>
      <c r="AA48" s="35"/>
      <c r="AB48" s="35"/>
      <c r="AC48" s="4"/>
      <c r="AD48" s="35">
        <f t="shared" si="138"/>
        <v>74.958405132446629</v>
      </c>
      <c r="AE48" s="4">
        <f t="shared" si="139"/>
        <v>28.775114919798877</v>
      </c>
      <c r="AF48" s="36">
        <f t="shared" si="140"/>
        <v>8.5623670576734021</v>
      </c>
      <c r="AG48" s="36">
        <f t="shared" si="141"/>
        <v>-23.856666874978448</v>
      </c>
      <c r="AH48" s="4">
        <f t="shared" si="142"/>
        <v>0</v>
      </c>
      <c r="AI48" s="35">
        <f t="shared" si="143"/>
        <v>-0.81275754457079152</v>
      </c>
      <c r="AJ48" s="35">
        <f t="shared" si="144"/>
        <v>0.34499510935465638</v>
      </c>
      <c r="AK48" s="35">
        <f t="shared" si="145"/>
        <v>-0.46947156278589081</v>
      </c>
      <c r="AL48" s="35">
        <f t="shared" si="146"/>
        <v>64.95</v>
      </c>
      <c r="AM48" s="35">
        <f t="shared" si="146"/>
        <v>-34.9</v>
      </c>
      <c r="AN48" s="35">
        <f t="shared" si="146"/>
        <v>-13.5</v>
      </c>
      <c r="AO48" s="36">
        <f t="shared" si="147"/>
        <v>-0.7803136370816719</v>
      </c>
      <c r="AP48" s="36">
        <f t="shared" si="148"/>
        <v>141.28930069275907</v>
      </c>
      <c r="AQ48" s="36">
        <f t="shared" si="149"/>
        <v>-1.9507840927041799E-2</v>
      </c>
      <c r="AR48" s="4" t="b">
        <f t="shared" ref="AR48:AR54" si="157">NOT(ISERROR(FIND("XY",UPPER(I15))))</f>
        <v>1</v>
      </c>
      <c r="AS48" s="37">
        <f t="shared" si="150"/>
        <v>2500</v>
      </c>
      <c r="AT48" s="37">
        <f t="shared" si="151"/>
        <v>7500</v>
      </c>
      <c r="AU48" s="37">
        <f t="shared" si="152"/>
        <v>10000</v>
      </c>
      <c r="AV48" s="37">
        <f t="shared" si="153"/>
        <v>25000</v>
      </c>
      <c r="AW48" s="37">
        <f t="shared" ref="AW48:AW55" si="158">IF(AS48&lt;500,500,IF(AS48&gt;2500,2500,AS48))</f>
        <v>2500</v>
      </c>
      <c r="AX48" s="37">
        <f t="shared" ref="AX48:AX55" si="159">IF(AT48&lt;2500,2500,IF(AT48&gt;7500,7500,AT48))</f>
        <v>7500</v>
      </c>
      <c r="AY48" s="37">
        <f t="shared" ref="AY48:AY55" si="160">IF(AU48&lt;2500,2500,IF(AU48&gt;10000,10000,AU48))</f>
        <v>10000</v>
      </c>
      <c r="AZ48" s="37">
        <f t="shared" ref="AZ48:AZ55" si="161">IF(AV48&lt;5000,5000,IF(AV48&gt;25000,25000,AV48))</f>
        <v>25000</v>
      </c>
      <c r="BA48" s="4">
        <f t="shared" si="154"/>
        <v>7500</v>
      </c>
    </row>
    <row r="49" spans="2:53">
      <c r="B49" s="18">
        <f>IF(AR49,COUNTIF(AR$14:AR49,TRUE),"")</f>
        <v>30</v>
      </c>
      <c r="C49" s="40">
        <f t="shared" si="155"/>
        <v>34.950000000000003</v>
      </c>
      <c r="D49" s="40">
        <f t="shared" si="156"/>
        <v>-35.1</v>
      </c>
      <c r="E49" s="1">
        <f t="shared" si="129"/>
        <v>15.2</v>
      </c>
      <c r="F49" s="41">
        <f t="shared" si="130"/>
        <v>160</v>
      </c>
      <c r="G49" s="41">
        <f t="shared" si="131"/>
        <v>62</v>
      </c>
      <c r="H49" s="42">
        <f t="shared" si="132"/>
        <v>2.5000000000000001E-2</v>
      </c>
      <c r="K49" s="43">
        <f t="shared" si="133"/>
        <v>8.0869673257187777</v>
      </c>
      <c r="L49" s="43">
        <f t="shared" si="134"/>
        <v>-25.32265570444121</v>
      </c>
      <c r="M49" s="44">
        <f t="shared" si="135"/>
        <v>0</v>
      </c>
      <c r="O49" s="43">
        <f t="shared" si="136"/>
        <v>75.027145087628114</v>
      </c>
      <c r="P49" s="32" t="str">
        <f t="shared" si="137"/>
        <v>onzichtbaar</v>
      </c>
      <c r="Q49" s="100"/>
      <c r="R49" s="34"/>
      <c r="S49" s="95"/>
      <c r="T49" s="34"/>
      <c r="U49" s="34"/>
      <c r="V49" s="34"/>
      <c r="X49" s="35"/>
      <c r="Y49" s="35"/>
      <c r="Z49" s="35"/>
      <c r="AA49" s="35"/>
      <c r="AB49" s="35"/>
      <c r="AC49" s="4"/>
      <c r="AD49" s="35">
        <f t="shared" si="138"/>
        <v>75.027145087628114</v>
      </c>
      <c r="AE49" s="4">
        <f t="shared" si="139"/>
        <v>28.587042273264242</v>
      </c>
      <c r="AF49" s="36">
        <f t="shared" si="140"/>
        <v>8.0869673257187777</v>
      </c>
      <c r="AG49" s="36">
        <f t="shared" si="141"/>
        <v>-25.32265570444121</v>
      </c>
      <c r="AH49" s="4">
        <f t="shared" si="142"/>
        <v>0</v>
      </c>
      <c r="AI49" s="35">
        <f t="shared" si="143"/>
        <v>-0.8296993375502143</v>
      </c>
      <c r="AJ49" s="35">
        <f t="shared" si="144"/>
        <v>0.30198586225866453</v>
      </c>
      <c r="AK49" s="35">
        <f t="shared" si="145"/>
        <v>-0.46947156278589081</v>
      </c>
      <c r="AL49" s="35">
        <f t="shared" si="146"/>
        <v>65.05</v>
      </c>
      <c r="AM49" s="35">
        <f t="shared" si="146"/>
        <v>-34.9</v>
      </c>
      <c r="AN49" s="35">
        <f t="shared" si="146"/>
        <v>-13.399999999999999</v>
      </c>
      <c r="AO49" s="36">
        <f t="shared" si="147"/>
        <v>-0.77599020316099365</v>
      </c>
      <c r="AP49" s="36">
        <f t="shared" si="148"/>
        <v>140.89489425469876</v>
      </c>
      <c r="AQ49" s="36">
        <f t="shared" si="149"/>
        <v>-1.9399755079024843E-2</v>
      </c>
      <c r="AR49" s="4" t="b">
        <f t="shared" si="157"/>
        <v>1</v>
      </c>
      <c r="AS49" s="37">
        <f t="shared" si="150"/>
        <v>2500</v>
      </c>
      <c r="AT49" s="37">
        <f t="shared" si="151"/>
        <v>7500</v>
      </c>
      <c r="AU49" s="37">
        <f t="shared" si="152"/>
        <v>10000</v>
      </c>
      <c r="AV49" s="37">
        <f t="shared" si="153"/>
        <v>25000</v>
      </c>
      <c r="AW49" s="37">
        <f t="shared" si="158"/>
        <v>2500</v>
      </c>
      <c r="AX49" s="37">
        <f t="shared" si="159"/>
        <v>7500</v>
      </c>
      <c r="AY49" s="37">
        <f t="shared" si="160"/>
        <v>10000</v>
      </c>
      <c r="AZ49" s="37">
        <f t="shared" si="161"/>
        <v>25000</v>
      </c>
      <c r="BA49" s="4">
        <f t="shared" si="154"/>
        <v>7500</v>
      </c>
    </row>
    <row r="50" spans="2:53">
      <c r="B50" s="18">
        <f>IF(AR50,COUNTIF(AR$14:AR50,TRUE),"")</f>
        <v>31</v>
      </c>
      <c r="C50" s="40">
        <f t="shared" si="155"/>
        <v>34.85</v>
      </c>
      <c r="D50" s="40">
        <f t="shared" si="156"/>
        <v>-35.1</v>
      </c>
      <c r="E50" s="1">
        <f t="shared" si="129"/>
        <v>15.1</v>
      </c>
      <c r="F50" s="41">
        <f t="shared" si="130"/>
        <v>163</v>
      </c>
      <c r="G50" s="41">
        <f t="shared" si="131"/>
        <v>62</v>
      </c>
      <c r="H50" s="42">
        <f t="shared" si="132"/>
        <v>2.5000000000000001E-2</v>
      </c>
      <c r="K50" s="43">
        <f t="shared" si="133"/>
        <v>7.6919302815086823</v>
      </c>
      <c r="L50" s="43">
        <f t="shared" si="134"/>
        <v>-26.796944837863848</v>
      </c>
      <c r="M50" s="44">
        <f t="shared" si="135"/>
        <v>0</v>
      </c>
      <c r="O50" s="43">
        <f t="shared" si="136"/>
        <v>75.096088446736033</v>
      </c>
      <c r="P50" s="32" t="str">
        <f t="shared" si="137"/>
        <v>onzichtbaar</v>
      </c>
      <c r="Q50" s="100"/>
      <c r="R50" s="34"/>
      <c r="S50" s="95"/>
      <c r="T50" s="34"/>
      <c r="U50" s="34"/>
      <c r="V50" s="34"/>
      <c r="X50" s="35"/>
      <c r="Y50" s="35"/>
      <c r="Z50" s="35"/>
      <c r="AA50" s="35"/>
      <c r="AB50" s="35"/>
      <c r="AC50" s="4"/>
      <c r="AD50" s="35">
        <f t="shared" si="138"/>
        <v>75.096088446736033</v>
      </c>
      <c r="AE50" s="4">
        <f t="shared" si="139"/>
        <v>28.39896962672961</v>
      </c>
      <c r="AF50" s="36">
        <f t="shared" si="140"/>
        <v>7.6919302815086823</v>
      </c>
      <c r="AG50" s="36">
        <f t="shared" si="141"/>
        <v>-26.796944837863848</v>
      </c>
      <c r="AH50" s="4">
        <f t="shared" si="142"/>
        <v>0</v>
      </c>
      <c r="AI50" s="35">
        <f t="shared" si="143"/>
        <v>-0.84436698231710583</v>
      </c>
      <c r="AJ50" s="35">
        <f t="shared" si="144"/>
        <v>0.25814889290500126</v>
      </c>
      <c r="AK50" s="35">
        <f t="shared" si="145"/>
        <v>-0.46947156278589081</v>
      </c>
      <c r="AL50" s="35">
        <f t="shared" si="146"/>
        <v>65.150000000000006</v>
      </c>
      <c r="AM50" s="35">
        <f t="shared" si="146"/>
        <v>-34.9</v>
      </c>
      <c r="AN50" s="35">
        <f t="shared" si="146"/>
        <v>-13.299999999999999</v>
      </c>
      <c r="AO50" s="36">
        <f t="shared" si="147"/>
        <v>-0.76936009145497397</v>
      </c>
      <c r="AP50" s="36">
        <f t="shared" si="148"/>
        <v>140.29646035213887</v>
      </c>
      <c r="AQ50" s="36">
        <f t="shared" si="149"/>
        <v>-1.9234002286374351E-2</v>
      </c>
      <c r="AR50" s="4" t="b">
        <f t="shared" si="157"/>
        <v>1</v>
      </c>
      <c r="AS50" s="37">
        <f t="shared" si="150"/>
        <v>2500</v>
      </c>
      <c r="AT50" s="37">
        <f t="shared" si="151"/>
        <v>7500</v>
      </c>
      <c r="AU50" s="37">
        <f t="shared" si="152"/>
        <v>10000</v>
      </c>
      <c r="AV50" s="37">
        <f t="shared" si="153"/>
        <v>25000</v>
      </c>
      <c r="AW50" s="37">
        <f t="shared" si="158"/>
        <v>2500</v>
      </c>
      <c r="AX50" s="37">
        <f t="shared" si="159"/>
        <v>7500</v>
      </c>
      <c r="AY50" s="37">
        <f t="shared" si="160"/>
        <v>10000</v>
      </c>
      <c r="AZ50" s="37">
        <f t="shared" si="161"/>
        <v>25000</v>
      </c>
      <c r="BA50" s="4">
        <f t="shared" si="154"/>
        <v>7500</v>
      </c>
    </row>
    <row r="51" spans="2:53">
      <c r="B51" s="18">
        <f>IF(AR51,COUNTIF(AR$14:AR51,TRUE),"")</f>
        <v>32</v>
      </c>
      <c r="C51" s="40">
        <f t="shared" si="155"/>
        <v>35.15</v>
      </c>
      <c r="D51" s="40">
        <f t="shared" si="156"/>
        <v>-34.9</v>
      </c>
      <c r="E51" s="1">
        <f t="shared" si="129"/>
        <v>15.4</v>
      </c>
      <c r="F51" s="41">
        <f t="shared" si="130"/>
        <v>166</v>
      </c>
      <c r="G51" s="41">
        <f t="shared" si="131"/>
        <v>62</v>
      </c>
      <c r="H51" s="42">
        <f t="shared" si="132"/>
        <v>2.5000000000000001E-2</v>
      </c>
      <c r="K51" s="43">
        <f t="shared" si="133"/>
        <v>7.0471428850565161</v>
      </c>
      <c r="L51" s="43">
        <f t="shared" si="134"/>
        <v>-27.893170761343868</v>
      </c>
      <c r="M51" s="44">
        <f t="shared" si="135"/>
        <v>0</v>
      </c>
      <c r="O51" s="43">
        <f t="shared" si="136"/>
        <v>74.983281469938348</v>
      </c>
      <c r="P51" s="32" t="str">
        <f t="shared" si="137"/>
        <v>onzichtbaar</v>
      </c>
      <c r="Q51" s="100"/>
      <c r="R51" s="34"/>
      <c r="S51" s="95"/>
      <c r="T51" s="34"/>
      <c r="U51" s="34"/>
      <c r="V51" s="34"/>
      <c r="X51" s="35"/>
      <c r="Y51" s="35"/>
      <c r="Z51" s="35"/>
      <c r="AA51" s="35"/>
      <c r="AB51" s="35"/>
      <c r="AC51" s="4"/>
      <c r="AD51" s="35">
        <f t="shared" si="138"/>
        <v>74.983281469938348</v>
      </c>
      <c r="AE51" s="4">
        <f t="shared" ref="AE51:AE54" si="162">IF(G51&gt;=90,NA(),E51*TAN(RADIANS(G51)))</f>
        <v>28.963187566333509</v>
      </c>
      <c r="AF51" s="36">
        <f t="shared" si="140"/>
        <v>7.0471428850565161</v>
      </c>
      <c r="AG51" s="36">
        <f t="shared" si="141"/>
        <v>-27.893170761343868</v>
      </c>
      <c r="AH51" s="4">
        <f t="shared" ref="AH51:AH54" si="163">IF(G51&gt;=90,NA(),0)</f>
        <v>0</v>
      </c>
      <c r="AI51" s="35">
        <f t="shared" ref="AI51:AI54" si="164">COS(RADIANS(F51))*COS(RADIANS(G51-90))</f>
        <v>-0.85672027587669541</v>
      </c>
      <c r="AJ51" s="35">
        <f t="shared" ref="AJ51:AJ54" si="165">SIN(RADIANS(F51))*COS(RADIANS(G51-90))</f>
        <v>0.21360435537959527</v>
      </c>
      <c r="AK51" s="35">
        <f t="shared" ref="AK51:AK54" si="166">SIN(RADIANS(G51-90))</f>
        <v>-0.46947156278589081</v>
      </c>
      <c r="AL51" s="35">
        <f t="shared" si="146"/>
        <v>64.849999999999994</v>
      </c>
      <c r="AM51" s="35">
        <f t="shared" si="146"/>
        <v>-35.1</v>
      </c>
      <c r="AN51" s="35">
        <f t="shared" si="146"/>
        <v>-13.6</v>
      </c>
      <c r="AO51" s="36">
        <f t="shared" ref="AO51:AO54" si="167">(AI51*AL51+AJ51*AM51+AK51*AN51)/(SQRT(AI51^2+AJ51^2+AK51^2)*SQRT(AL51^2+AM51^2+AN51^2))</f>
        <v>-0.7557819343137101</v>
      </c>
      <c r="AP51" s="36">
        <f t="shared" ref="AP51:AP54" si="168">DEGREES(ACOS(AO51))</f>
        <v>139.09374044401508</v>
      </c>
      <c r="AQ51" s="36">
        <f t="shared" si="149"/>
        <v>-1.8894548357842753E-2</v>
      </c>
      <c r="AR51" s="4" t="b">
        <f t="shared" si="157"/>
        <v>1</v>
      </c>
      <c r="AS51" s="37">
        <f t="shared" si="150"/>
        <v>2500</v>
      </c>
      <c r="AT51" s="37">
        <f t="shared" si="151"/>
        <v>7500</v>
      </c>
      <c r="AU51" s="37">
        <f t="shared" si="152"/>
        <v>10000</v>
      </c>
      <c r="AV51" s="37">
        <f t="shared" si="153"/>
        <v>25000</v>
      </c>
      <c r="AW51" s="37">
        <f t="shared" si="158"/>
        <v>2500</v>
      </c>
      <c r="AX51" s="37">
        <f t="shared" si="159"/>
        <v>7500</v>
      </c>
      <c r="AY51" s="37">
        <f t="shared" si="160"/>
        <v>10000</v>
      </c>
      <c r="AZ51" s="37">
        <f t="shared" si="161"/>
        <v>25000</v>
      </c>
      <c r="BA51" s="4">
        <f t="shared" si="154"/>
        <v>7500</v>
      </c>
    </row>
    <row r="52" spans="2:53">
      <c r="B52" s="18">
        <f>IF(AR52,COUNTIF(AR$14:AR52,TRUE),"")</f>
        <v>33</v>
      </c>
      <c r="C52" s="40">
        <f t="shared" si="155"/>
        <v>35.049999999999997</v>
      </c>
      <c r="D52" s="40">
        <f t="shared" si="156"/>
        <v>-34.9</v>
      </c>
      <c r="E52" s="1">
        <f t="shared" si="129"/>
        <v>15.3</v>
      </c>
      <c r="F52" s="41">
        <f t="shared" si="130"/>
        <v>169</v>
      </c>
      <c r="G52" s="41">
        <f t="shared" si="131"/>
        <v>62</v>
      </c>
      <c r="H52" s="42">
        <f t="shared" si="132"/>
        <v>2.5000000000000001E-2</v>
      </c>
      <c r="K52" s="43">
        <f t="shared" si="133"/>
        <v>6.8035649878949727</v>
      </c>
      <c r="L52" s="43">
        <f t="shared" si="134"/>
        <v>-29.409449230308546</v>
      </c>
      <c r="M52" s="44">
        <f t="shared" si="135"/>
        <v>0</v>
      </c>
      <c r="O52" s="43">
        <f t="shared" si="136"/>
        <v>75.05173215855848</v>
      </c>
      <c r="P52" s="32" t="str">
        <f t="shared" si="137"/>
        <v>onzichtbaar</v>
      </c>
      <c r="Q52" s="100"/>
      <c r="R52" s="34"/>
      <c r="S52" s="95"/>
      <c r="T52" s="34"/>
      <c r="U52" s="34"/>
      <c r="V52" s="34"/>
      <c r="X52" s="35"/>
      <c r="Y52" s="35"/>
      <c r="Z52" s="35"/>
      <c r="AA52" s="35"/>
      <c r="AB52" s="35"/>
      <c r="AC52" s="4"/>
      <c r="AD52" s="35">
        <f t="shared" si="138"/>
        <v>75.05173215855848</v>
      </c>
      <c r="AE52" s="4">
        <f t="shared" si="162"/>
        <v>28.775114919798877</v>
      </c>
      <c r="AF52" s="36">
        <f t="shared" si="140"/>
        <v>6.8035649878949727</v>
      </c>
      <c r="AG52" s="36">
        <f t="shared" si="141"/>
        <v>-29.409449230308546</v>
      </c>
      <c r="AH52" s="4">
        <f t="shared" si="163"/>
        <v>0</v>
      </c>
      <c r="AI52" s="35">
        <f t="shared" si="164"/>
        <v>-0.86672535871000322</v>
      </c>
      <c r="AJ52" s="35">
        <f t="shared" si="165"/>
        <v>0.16847434316355051</v>
      </c>
      <c r="AK52" s="35">
        <f t="shared" si="166"/>
        <v>-0.46947156278589081</v>
      </c>
      <c r="AL52" s="35">
        <f t="shared" si="146"/>
        <v>64.95</v>
      </c>
      <c r="AM52" s="35">
        <f t="shared" si="146"/>
        <v>-35.1</v>
      </c>
      <c r="AN52" s="35">
        <f t="shared" si="146"/>
        <v>-13.5</v>
      </c>
      <c r="AO52" s="36">
        <f t="shared" si="167"/>
        <v>-0.74441180488163816</v>
      </c>
      <c r="AP52" s="36">
        <f t="shared" si="168"/>
        <v>138.10860227336411</v>
      </c>
      <c r="AQ52" s="36">
        <f t="shared" si="149"/>
        <v>-1.8610295122040956E-2</v>
      </c>
      <c r="AR52" s="4" t="b">
        <f t="shared" si="157"/>
        <v>1</v>
      </c>
      <c r="AS52" s="37">
        <f t="shared" si="150"/>
        <v>2500</v>
      </c>
      <c r="AT52" s="37">
        <f t="shared" si="151"/>
        <v>7500</v>
      </c>
      <c r="AU52" s="37">
        <f t="shared" si="152"/>
        <v>10000</v>
      </c>
      <c r="AV52" s="37">
        <f t="shared" si="153"/>
        <v>25000</v>
      </c>
      <c r="AW52" s="37">
        <f t="shared" si="158"/>
        <v>2500</v>
      </c>
      <c r="AX52" s="37">
        <f t="shared" si="159"/>
        <v>7500</v>
      </c>
      <c r="AY52" s="37">
        <f t="shared" si="160"/>
        <v>10000</v>
      </c>
      <c r="AZ52" s="37">
        <f t="shared" si="161"/>
        <v>25000</v>
      </c>
      <c r="BA52" s="4">
        <f t="shared" si="154"/>
        <v>7500</v>
      </c>
    </row>
    <row r="53" spans="2:53">
      <c r="B53" s="18">
        <f>IF(AR53,COUNTIF(AR$14:AR53,TRUE),"")</f>
        <v>34</v>
      </c>
      <c r="C53" s="40">
        <f t="shared" si="155"/>
        <v>34.950000000000003</v>
      </c>
      <c r="D53" s="40">
        <f t="shared" si="156"/>
        <v>-34.9</v>
      </c>
      <c r="E53" s="1">
        <f t="shared" si="129"/>
        <v>15.2</v>
      </c>
      <c r="F53" s="41">
        <f t="shared" si="130"/>
        <v>172</v>
      </c>
      <c r="G53" s="41">
        <f t="shared" si="131"/>
        <v>62</v>
      </c>
      <c r="H53" s="42">
        <f t="shared" si="132"/>
        <v>2.5000000000000001E-2</v>
      </c>
      <c r="K53" s="43">
        <f t="shared" si="133"/>
        <v>6.6411648570209891</v>
      </c>
      <c r="L53" s="43">
        <f t="shared" si="134"/>
        <v>-30.92145267955334</v>
      </c>
      <c r="M53" s="44">
        <f t="shared" si="135"/>
        <v>0</v>
      </c>
      <c r="O53" s="43">
        <f t="shared" si="136"/>
        <v>75.120386713594598</v>
      </c>
      <c r="P53" s="32" t="str">
        <f t="shared" si="137"/>
        <v>onzichtbaar</v>
      </c>
      <c r="Q53" s="100"/>
      <c r="R53" s="34"/>
      <c r="S53" s="95"/>
      <c r="T53" s="34"/>
      <c r="U53" s="34"/>
      <c r="V53" s="34"/>
      <c r="X53" s="35"/>
      <c r="Y53" s="35"/>
      <c r="Z53" s="35"/>
      <c r="AA53" s="35"/>
      <c r="AB53" s="35"/>
      <c r="AC53" s="4"/>
      <c r="AD53" s="35">
        <f t="shared" si="138"/>
        <v>75.120386713594598</v>
      </c>
      <c r="AE53" s="4">
        <f t="shared" si="162"/>
        <v>28.587042273264242</v>
      </c>
      <c r="AF53" s="36">
        <f t="shared" si="140"/>
        <v>6.6411648570209891</v>
      </c>
      <c r="AG53" s="36">
        <f t="shared" si="141"/>
        <v>-30.92145267955334</v>
      </c>
      <c r="AH53" s="4">
        <f t="shared" si="163"/>
        <v>0</v>
      </c>
      <c r="AI53" s="35">
        <f t="shared" si="164"/>
        <v>-0.87435480758042794</v>
      </c>
      <c r="AJ53" s="35">
        <f t="shared" si="165"/>
        <v>0.1228825544834021</v>
      </c>
      <c r="AK53" s="35">
        <f t="shared" si="166"/>
        <v>-0.46947156278589081</v>
      </c>
      <c r="AL53" s="35">
        <f t="shared" si="146"/>
        <v>65.05</v>
      </c>
      <c r="AM53" s="35">
        <f t="shared" si="146"/>
        <v>-35.1</v>
      </c>
      <c r="AN53" s="35">
        <f t="shared" si="146"/>
        <v>-13.399999999999999</v>
      </c>
      <c r="AO53" s="36">
        <f t="shared" si="167"/>
        <v>-0.73081411526078033</v>
      </c>
      <c r="AP53" s="36">
        <f t="shared" si="168"/>
        <v>136.95468769142303</v>
      </c>
      <c r="AQ53" s="36">
        <f t="shared" si="149"/>
        <v>-1.827035288151951E-2</v>
      </c>
      <c r="AR53" s="4" t="b">
        <f t="shared" si="157"/>
        <v>1</v>
      </c>
      <c r="AS53" s="37">
        <f t="shared" si="150"/>
        <v>2500</v>
      </c>
      <c r="AT53" s="37">
        <f t="shared" si="151"/>
        <v>7500</v>
      </c>
      <c r="AU53" s="37">
        <f t="shared" si="152"/>
        <v>10000</v>
      </c>
      <c r="AV53" s="37">
        <f t="shared" si="153"/>
        <v>25000</v>
      </c>
      <c r="AW53" s="37">
        <f t="shared" si="158"/>
        <v>2500</v>
      </c>
      <c r="AX53" s="37">
        <f t="shared" si="159"/>
        <v>7500</v>
      </c>
      <c r="AY53" s="37">
        <f t="shared" si="160"/>
        <v>10000</v>
      </c>
      <c r="AZ53" s="37">
        <f t="shared" si="161"/>
        <v>25000</v>
      </c>
      <c r="BA53" s="4">
        <f t="shared" si="154"/>
        <v>7500</v>
      </c>
    </row>
    <row r="54" spans="2:53">
      <c r="B54" s="18">
        <f>IF(AR54,COUNTIF(AR$14:AR54,TRUE),"")</f>
        <v>35</v>
      </c>
      <c r="C54" s="40">
        <f t="shared" si="155"/>
        <v>34.85</v>
      </c>
      <c r="D54" s="40">
        <f t="shared" si="156"/>
        <v>-34.9</v>
      </c>
      <c r="E54" s="1">
        <f t="shared" si="129"/>
        <v>15.1</v>
      </c>
      <c r="F54" s="41">
        <f t="shared" si="130"/>
        <v>175</v>
      </c>
      <c r="G54" s="41">
        <f t="shared" si="131"/>
        <v>62</v>
      </c>
      <c r="H54" s="42">
        <f t="shared" si="132"/>
        <v>2.5000000000000001E-2</v>
      </c>
      <c r="K54" s="43">
        <f t="shared" si="133"/>
        <v>6.5590970265834478</v>
      </c>
      <c r="L54" s="43">
        <f t="shared" si="134"/>
        <v>-32.424866708914195</v>
      </c>
      <c r="M54" s="44">
        <f t="shared" si="135"/>
        <v>0</v>
      </c>
      <c r="O54" s="43">
        <f t="shared" si="136"/>
        <v>75.189244576601524</v>
      </c>
      <c r="P54" s="32" t="str">
        <f t="shared" si="137"/>
        <v>onzichtbaar</v>
      </c>
      <c r="Q54" s="101"/>
      <c r="R54" s="34"/>
      <c r="S54" s="95"/>
      <c r="T54" s="34"/>
      <c r="U54" s="34"/>
      <c r="V54" s="34"/>
      <c r="X54" s="35"/>
      <c r="Y54" s="35"/>
      <c r="Z54" s="35"/>
      <c r="AA54" s="35"/>
      <c r="AB54" s="35"/>
      <c r="AC54" s="4"/>
      <c r="AD54" s="35">
        <f t="shared" si="138"/>
        <v>75.189244576601524</v>
      </c>
      <c r="AE54" s="4">
        <f t="shared" si="162"/>
        <v>28.39896962672961</v>
      </c>
      <c r="AF54" s="36">
        <f t="shared" si="140"/>
        <v>6.5590970265834478</v>
      </c>
      <c r="AG54" s="36">
        <f t="shared" si="141"/>
        <v>-32.424866708914195</v>
      </c>
      <c r="AH54" s="4">
        <f t="shared" si="163"/>
        <v>0</v>
      </c>
      <c r="AI54" s="35">
        <f t="shared" si="164"/>
        <v>-0.87958771069893227</v>
      </c>
      <c r="AJ54" s="35">
        <f t="shared" si="165"/>
        <v>7.6953953262876684E-2</v>
      </c>
      <c r="AK54" s="35">
        <f t="shared" si="166"/>
        <v>-0.46947156278589081</v>
      </c>
      <c r="AL54" s="35">
        <f t="shared" si="146"/>
        <v>65.150000000000006</v>
      </c>
      <c r="AM54" s="35">
        <f t="shared" si="146"/>
        <v>-35.1</v>
      </c>
      <c r="AN54" s="35">
        <f t="shared" si="146"/>
        <v>-13.299999999999999</v>
      </c>
      <c r="AO54" s="36">
        <f t="shared" si="167"/>
        <v>-0.7150258209036533</v>
      </c>
      <c r="AP54" s="36">
        <f t="shared" si="168"/>
        <v>135.64531531823502</v>
      </c>
      <c r="AQ54" s="36">
        <f t="shared" si="149"/>
        <v>-1.7875645522591334E-2</v>
      </c>
      <c r="AR54" s="4" t="b">
        <f t="shared" si="157"/>
        <v>1</v>
      </c>
      <c r="AS54" s="37">
        <f t="shared" si="150"/>
        <v>2500</v>
      </c>
      <c r="AT54" s="37">
        <f t="shared" si="151"/>
        <v>7500</v>
      </c>
      <c r="AU54" s="37">
        <f t="shared" si="152"/>
        <v>10000</v>
      </c>
      <c r="AV54" s="37">
        <f t="shared" si="153"/>
        <v>25000</v>
      </c>
      <c r="AW54" s="37">
        <f t="shared" si="158"/>
        <v>2500</v>
      </c>
      <c r="AX54" s="37">
        <f t="shared" si="159"/>
        <v>7500</v>
      </c>
      <c r="AY54" s="37">
        <f t="shared" si="160"/>
        <v>10000</v>
      </c>
      <c r="AZ54" s="37">
        <f t="shared" si="161"/>
        <v>25000</v>
      </c>
      <c r="BA54" s="4">
        <f t="shared" si="154"/>
        <v>7500</v>
      </c>
    </row>
    <row r="55" spans="2:53">
      <c r="B55" s="102" t="str">
        <f>B44</f>
        <v>Gehele armatuur</v>
      </c>
      <c r="O55" s="94">
        <f>AVERAGE(O47:O54)</f>
        <v>75.039519090849595</v>
      </c>
      <c r="P55" s="32" t="str">
        <f t="shared" si="137"/>
        <v>onzichtbaar</v>
      </c>
      <c r="Q55" s="33" t="str">
        <f>IF(AR55,IF(AQ55&lt;=0,"",BA55),"")</f>
        <v/>
      </c>
      <c r="S55" s="109" t="str">
        <f>IF(SUM(S47:S54)&gt;0,SUM(S47:S54),"")</f>
        <v/>
      </c>
      <c r="U55" s="3"/>
      <c r="X55" s="4"/>
      <c r="Y55" s="4"/>
      <c r="Z55" s="4"/>
      <c r="AA55" s="4"/>
      <c r="AB55" s="4"/>
      <c r="AC55" s="4"/>
      <c r="AD55" s="4"/>
      <c r="AE55" s="4"/>
      <c r="AF55" s="4"/>
      <c r="AJ55" s="3"/>
      <c r="AK55" s="3"/>
      <c r="AL55" s="3"/>
      <c r="AM55" s="3"/>
      <c r="AN55" s="3"/>
      <c r="AO55" s="3"/>
      <c r="AP55" s="3"/>
      <c r="AQ55" s="36">
        <f>SUM(P47:P54)</f>
        <v>0</v>
      </c>
      <c r="AR55" s="87" t="b">
        <f>OR(AR47,AR48,A649,AR50,AR51,AR52,AR53,AR54)</f>
        <v>1</v>
      </c>
      <c r="AS55" s="37">
        <f t="shared" si="150"/>
        <v>2500</v>
      </c>
      <c r="AT55" s="37">
        <f t="shared" si="151"/>
        <v>7500</v>
      </c>
      <c r="AU55" s="37">
        <f t="shared" si="152"/>
        <v>10000</v>
      </c>
      <c r="AV55" s="37">
        <f t="shared" si="153"/>
        <v>25000</v>
      </c>
      <c r="AW55" s="37">
        <f t="shared" si="158"/>
        <v>2500</v>
      </c>
      <c r="AX55" s="37">
        <f t="shared" si="159"/>
        <v>7500</v>
      </c>
      <c r="AY55" s="37">
        <f t="shared" si="160"/>
        <v>10000</v>
      </c>
      <c r="AZ55" s="37">
        <f t="shared" si="161"/>
        <v>25000</v>
      </c>
      <c r="BA55" s="87">
        <f t="shared" si="154"/>
        <v>7500</v>
      </c>
    </row>
    <row r="56" spans="2:53">
      <c r="U56" s="3"/>
      <c r="X56" s="4"/>
      <c r="Y56" s="4"/>
      <c r="Z56" s="4"/>
      <c r="AA56" s="4"/>
      <c r="AB56" s="4"/>
      <c r="AC56" s="4"/>
      <c r="AD56" s="4"/>
      <c r="AE56" s="45"/>
      <c r="AF56" s="4"/>
      <c r="AJ56" s="3"/>
      <c r="AK56" s="3"/>
      <c r="AL56" s="3"/>
      <c r="AM56" s="3"/>
      <c r="AN56" s="3"/>
      <c r="AO56" s="3"/>
      <c r="AP56" s="3"/>
      <c r="AR56" s="4"/>
      <c r="AT56" s="4"/>
      <c r="AU56" s="4"/>
      <c r="AV56" s="4"/>
      <c r="AW56" s="4"/>
      <c r="BA56" s="4"/>
    </row>
    <row r="57" spans="2:53">
      <c r="U57" s="3"/>
      <c r="X57" s="4"/>
      <c r="Y57" s="4"/>
      <c r="Z57" s="4"/>
      <c r="AA57" s="4"/>
      <c r="AB57" s="4"/>
      <c r="AC57" s="4"/>
      <c r="AD57" s="4"/>
      <c r="AE57" s="4"/>
      <c r="AF57" s="4"/>
      <c r="AJ57" s="3"/>
      <c r="AK57" s="3"/>
      <c r="AL57" s="3"/>
      <c r="AM57" s="3"/>
      <c r="AN57" s="3"/>
      <c r="AO57" s="3"/>
      <c r="AP57" s="3"/>
      <c r="AR57" s="4"/>
      <c r="AT57" s="4"/>
      <c r="AU57" s="4"/>
      <c r="AV57" s="4"/>
      <c r="AW57" s="4"/>
      <c r="BA57" s="4"/>
    </row>
    <row r="58" spans="2:53">
      <c r="U58" s="3"/>
      <c r="X58" s="4"/>
      <c r="Y58" s="4"/>
      <c r="Z58" s="4"/>
      <c r="AA58" s="4"/>
      <c r="AB58" s="4"/>
      <c r="AC58" s="4"/>
      <c r="AD58" s="4"/>
      <c r="AE58" s="4"/>
      <c r="AF58" s="4"/>
      <c r="AJ58" s="3"/>
      <c r="AK58" s="3"/>
      <c r="AL58" s="3"/>
      <c r="AM58" s="3"/>
      <c r="AN58" s="3"/>
      <c r="AO58" s="3"/>
      <c r="AP58" s="3"/>
      <c r="AR58" s="4"/>
      <c r="AT58" s="4"/>
      <c r="AU58" s="4"/>
      <c r="AV58" s="4"/>
      <c r="AW58" s="4"/>
      <c r="BA58" s="4"/>
    </row>
    <row r="59" spans="2:53">
      <c r="U59" s="3"/>
      <c r="X59" s="4"/>
      <c r="Y59" s="4"/>
      <c r="Z59" s="4"/>
      <c r="AA59" s="4"/>
      <c r="AB59" s="4"/>
      <c r="AC59" s="4"/>
      <c r="AD59" s="4"/>
      <c r="AE59" s="4"/>
      <c r="AF59" s="4"/>
      <c r="AJ59" s="3"/>
      <c r="AK59" s="3"/>
      <c r="AL59" s="3"/>
      <c r="AM59" s="3"/>
      <c r="AN59" s="3"/>
      <c r="AO59" s="3"/>
      <c r="AP59" s="3"/>
      <c r="AR59" s="4"/>
      <c r="AT59" s="4"/>
      <c r="AU59" s="4"/>
      <c r="AV59" s="4"/>
      <c r="AW59" s="4"/>
      <c r="BA59" s="4"/>
    </row>
    <row r="60" spans="2:53">
      <c r="U60" s="3"/>
      <c r="X60" s="4"/>
      <c r="Y60" s="4"/>
      <c r="Z60" s="4"/>
      <c r="AA60" s="4"/>
      <c r="AB60" s="4"/>
      <c r="AC60" s="4"/>
      <c r="AD60" s="4"/>
      <c r="AE60" s="4"/>
      <c r="AF60" s="4"/>
      <c r="AJ60" s="3"/>
      <c r="AK60" s="3"/>
      <c r="AL60" s="3"/>
      <c r="AM60" s="3"/>
      <c r="AN60" s="3"/>
      <c r="AO60" s="3"/>
      <c r="AP60" s="3"/>
      <c r="AR60" s="4"/>
      <c r="AT60" s="4"/>
      <c r="AU60" s="4"/>
      <c r="AV60" s="4"/>
      <c r="AW60" s="4"/>
      <c r="BA60" s="4"/>
    </row>
    <row r="61" spans="2:53">
      <c r="U61" s="3"/>
      <c r="X61" s="4"/>
      <c r="Y61" s="4"/>
      <c r="Z61" s="4"/>
      <c r="AA61" s="4"/>
      <c r="AB61" s="4"/>
      <c r="AC61" s="4"/>
      <c r="AD61" s="4"/>
      <c r="AE61" s="4"/>
      <c r="AF61" s="4"/>
      <c r="AJ61" s="3"/>
      <c r="AK61" s="3"/>
      <c r="AL61" s="3"/>
      <c r="AM61" s="3"/>
      <c r="AN61" s="3"/>
      <c r="AO61" s="3"/>
      <c r="AP61" s="3"/>
      <c r="AR61" s="4"/>
      <c r="AT61" s="4"/>
      <c r="AU61" s="4"/>
      <c r="AV61" s="4"/>
      <c r="AW61" s="4"/>
      <c r="BA61" s="4"/>
    </row>
    <row r="62" spans="2:53">
      <c r="U62" s="3"/>
      <c r="X62" s="4"/>
      <c r="Y62" s="4"/>
      <c r="Z62" s="4"/>
      <c r="AA62" s="4"/>
      <c r="AB62" s="4"/>
      <c r="AC62" s="4"/>
      <c r="AD62" s="4"/>
      <c r="AE62" s="4"/>
      <c r="AF62" s="4"/>
      <c r="AJ62" s="3"/>
      <c r="AK62" s="3"/>
      <c r="AL62" s="3"/>
      <c r="AM62" s="3"/>
      <c r="AN62" s="3"/>
      <c r="AO62" s="3"/>
      <c r="AP62" s="3"/>
      <c r="AR62" s="4"/>
      <c r="AT62" s="4"/>
      <c r="AU62" s="4"/>
      <c r="AV62" s="4"/>
      <c r="AW62" s="4"/>
      <c r="BA62" s="4"/>
    </row>
    <row r="63" spans="2:53">
      <c r="U63" s="3"/>
      <c r="X63" s="4"/>
      <c r="Y63" s="4"/>
      <c r="Z63" s="4"/>
      <c r="AA63" s="4"/>
      <c r="AB63" s="4"/>
      <c r="AC63" s="4"/>
      <c r="AD63" s="4"/>
      <c r="AE63" s="4"/>
      <c r="AF63" s="4"/>
      <c r="AJ63" s="3"/>
      <c r="AK63" s="3"/>
      <c r="AL63" s="3"/>
      <c r="AM63" s="3"/>
      <c r="AN63" s="3"/>
      <c r="AO63" s="3"/>
      <c r="AP63" s="3"/>
      <c r="AR63" s="4"/>
      <c r="AT63" s="4"/>
      <c r="AU63" s="4"/>
      <c r="AV63" s="4"/>
      <c r="AW63" s="4"/>
      <c r="BA63" s="4"/>
    </row>
    <row r="64" spans="2:53">
      <c r="U64" s="3"/>
      <c r="X64" s="4"/>
      <c r="Y64" s="4"/>
      <c r="Z64" s="4"/>
      <c r="AA64" s="4"/>
      <c r="AB64" s="4"/>
      <c r="AC64" s="4"/>
      <c r="AD64" s="4"/>
      <c r="AE64" s="4"/>
      <c r="AF64" s="4"/>
      <c r="AJ64" s="3"/>
      <c r="AK64" s="3"/>
      <c r="AL64" s="3"/>
      <c r="AM64" s="3"/>
      <c r="AN64" s="3"/>
      <c r="AO64" s="3"/>
      <c r="AP64" s="3"/>
      <c r="AR64" s="4"/>
      <c r="AT64" s="4"/>
      <c r="AU64" s="4"/>
      <c r="AV64" s="4"/>
      <c r="AW64" s="4"/>
      <c r="BA64" s="4"/>
    </row>
    <row r="65" spans="21:53">
      <c r="U65" s="3"/>
      <c r="X65" s="4"/>
      <c r="Y65" s="4"/>
      <c r="Z65" s="4"/>
      <c r="AA65" s="4"/>
      <c r="AB65" s="4"/>
      <c r="AC65" s="4"/>
      <c r="AD65" s="4"/>
      <c r="AE65" s="4"/>
      <c r="AF65" s="4"/>
      <c r="AJ65" s="3"/>
      <c r="AK65" s="3"/>
      <c r="AL65" s="3"/>
      <c r="AM65" s="3"/>
      <c r="AN65" s="3"/>
      <c r="AO65" s="3"/>
      <c r="AP65" s="3"/>
      <c r="AR65" s="4"/>
      <c r="AT65" s="4"/>
      <c r="AU65" s="4"/>
      <c r="AV65" s="4"/>
      <c r="AW65" s="4"/>
      <c r="BA65" s="4"/>
    </row>
    <row r="66" spans="21:53">
      <c r="U66" s="3"/>
      <c r="X66" s="4"/>
      <c r="Y66" s="4"/>
      <c r="Z66" s="4"/>
      <c r="AA66" s="4"/>
      <c r="AB66" s="4"/>
      <c r="AC66" s="4"/>
      <c r="AD66" s="4"/>
      <c r="AE66" s="4"/>
      <c r="AF66" s="4"/>
      <c r="AJ66" s="3"/>
      <c r="AK66" s="3"/>
      <c r="AL66" s="3"/>
      <c r="AM66" s="3"/>
      <c r="AN66" s="3"/>
      <c r="AO66" s="3"/>
      <c r="AP66" s="3"/>
      <c r="AR66" s="4"/>
      <c r="AT66" s="4"/>
      <c r="AU66" s="4"/>
      <c r="AV66" s="4"/>
      <c r="AW66" s="4"/>
      <c r="BA66" s="4"/>
    </row>
    <row r="67" spans="21:53">
      <c r="U67" s="3"/>
      <c r="X67" s="4"/>
      <c r="Y67" s="4"/>
      <c r="Z67" s="4"/>
      <c r="AA67" s="4"/>
      <c r="AB67" s="4"/>
      <c r="AC67" s="4"/>
      <c r="AD67" s="4"/>
      <c r="AE67" s="4"/>
      <c r="AF67" s="4"/>
      <c r="AJ67" s="3"/>
      <c r="AK67" s="3"/>
      <c r="AL67" s="3"/>
      <c r="AM67" s="3"/>
      <c r="AN67" s="3"/>
      <c r="AO67" s="3"/>
      <c r="AP67" s="3"/>
      <c r="AR67" s="4"/>
      <c r="AT67" s="4"/>
      <c r="AU67" s="4"/>
      <c r="AV67" s="4"/>
      <c r="AW67" s="4"/>
      <c r="BA67" s="4"/>
    </row>
    <row r="68" spans="21:53">
      <c r="U68" s="3"/>
      <c r="X68" s="4"/>
      <c r="Y68" s="4"/>
      <c r="Z68" s="4"/>
      <c r="AA68" s="4"/>
      <c r="AB68" s="4"/>
      <c r="AC68" s="4"/>
      <c r="AD68" s="4"/>
      <c r="AE68" s="4"/>
      <c r="AF68" s="4"/>
      <c r="AJ68" s="3"/>
      <c r="AK68" s="3"/>
      <c r="AL68" s="3"/>
      <c r="AM68" s="3"/>
      <c r="AN68" s="3"/>
      <c r="AO68" s="3"/>
      <c r="AP68" s="3"/>
      <c r="AR68" s="4"/>
      <c r="AT68" s="4"/>
      <c r="AU68" s="4"/>
      <c r="AV68" s="4"/>
      <c r="AW68" s="4"/>
      <c r="BA68" s="4"/>
    </row>
    <row r="69" spans="21:53">
      <c r="U69" s="3"/>
      <c r="X69" s="4"/>
      <c r="Y69" s="4"/>
      <c r="Z69" s="4"/>
      <c r="AA69" s="4"/>
      <c r="AB69" s="4"/>
      <c r="AC69" s="4"/>
      <c r="AD69" s="4"/>
      <c r="AE69" s="4"/>
      <c r="AF69" s="4"/>
      <c r="AJ69" s="3"/>
      <c r="AK69" s="3"/>
      <c r="AL69" s="3"/>
      <c r="AM69" s="3"/>
      <c r="AN69" s="3"/>
      <c r="AO69" s="3"/>
      <c r="AP69" s="3"/>
      <c r="AR69" s="4"/>
      <c r="AT69" s="4"/>
      <c r="AU69" s="4"/>
      <c r="AV69" s="4"/>
      <c r="AW69" s="4"/>
      <c r="BA69" s="4"/>
    </row>
    <row r="70" spans="21:53">
      <c r="U70" s="3"/>
      <c r="X70" s="4"/>
      <c r="Y70" s="4"/>
      <c r="Z70" s="4"/>
      <c r="AA70" s="4"/>
      <c r="AB70" s="4"/>
      <c r="AC70" s="4"/>
      <c r="AD70" s="4"/>
      <c r="AE70" s="4"/>
      <c r="AF70" s="4"/>
      <c r="AJ70" s="3"/>
      <c r="AK70" s="3"/>
      <c r="AL70" s="3"/>
      <c r="AM70" s="3"/>
      <c r="AN70" s="3"/>
      <c r="AO70" s="3"/>
      <c r="AP70" s="3"/>
      <c r="AR70" s="4"/>
      <c r="AT70" s="4"/>
      <c r="AU70" s="4"/>
      <c r="AV70" s="4"/>
      <c r="AW70" s="4"/>
      <c r="BA70" s="4"/>
    </row>
    <row r="71" spans="21:53">
      <c r="U71" s="3"/>
      <c r="X71" s="4"/>
      <c r="Y71" s="4"/>
      <c r="Z71" s="4"/>
      <c r="AA71" s="4"/>
      <c r="AB71" s="4"/>
      <c r="AC71" s="4"/>
      <c r="AD71" s="4"/>
      <c r="AE71" s="4"/>
      <c r="AF71" s="4"/>
      <c r="AJ71" s="3"/>
      <c r="AK71" s="3"/>
      <c r="AL71" s="3"/>
      <c r="AM71" s="3"/>
      <c r="AN71" s="3"/>
      <c r="AO71" s="3"/>
      <c r="AP71" s="3"/>
      <c r="AR71" s="4"/>
      <c r="AT71" s="4"/>
      <c r="AU71" s="4"/>
      <c r="AV71" s="4"/>
      <c r="AW71" s="4"/>
      <c r="BA71" s="4"/>
    </row>
    <row r="72" spans="21:53">
      <c r="U72" s="3"/>
      <c r="X72" s="4"/>
      <c r="Y72" s="4"/>
      <c r="Z72" s="4"/>
      <c r="AA72" s="4"/>
      <c r="AB72" s="4"/>
      <c r="AC72" s="4"/>
      <c r="AD72" s="4"/>
      <c r="AE72" s="4"/>
      <c r="AF72" s="4"/>
      <c r="AJ72" s="3"/>
      <c r="AK72" s="3"/>
      <c r="AL72" s="3"/>
      <c r="AM72" s="3"/>
      <c r="AN72" s="3"/>
      <c r="AO72" s="3"/>
      <c r="AP72" s="3"/>
      <c r="AR72" s="4"/>
      <c r="AT72" s="4"/>
      <c r="AU72" s="4"/>
      <c r="AV72" s="4"/>
      <c r="AW72" s="4"/>
      <c r="BA72" s="4"/>
    </row>
    <row r="73" spans="21:53">
      <c r="U73" s="3"/>
      <c r="X73" s="4"/>
      <c r="Y73" s="4"/>
      <c r="Z73" s="4"/>
      <c r="AA73" s="4"/>
      <c r="AB73" s="4"/>
      <c r="AC73" s="4"/>
      <c r="AD73" s="4"/>
      <c r="AE73" s="4"/>
      <c r="AF73" s="4"/>
      <c r="AJ73" s="3"/>
      <c r="AK73" s="3"/>
      <c r="AL73" s="3"/>
      <c r="AM73" s="3"/>
      <c r="AN73" s="3"/>
      <c r="AO73" s="3"/>
      <c r="AP73" s="3"/>
      <c r="AR73" s="4"/>
      <c r="AT73" s="4"/>
      <c r="AU73" s="4"/>
      <c r="AV73" s="4"/>
      <c r="AW73" s="4"/>
      <c r="BA73" s="4"/>
    </row>
    <row r="74" spans="21:53">
      <c r="U74" s="3"/>
      <c r="X74" s="4"/>
      <c r="Y74" s="4"/>
      <c r="Z74" s="4"/>
      <c r="AA74" s="4"/>
      <c r="AB74" s="4"/>
      <c r="AC74" s="4"/>
      <c r="AD74" s="4"/>
      <c r="AE74" s="4"/>
      <c r="AF74" s="4"/>
      <c r="AJ74" s="3"/>
      <c r="AK74" s="3"/>
      <c r="AL74" s="3"/>
      <c r="AM74" s="3"/>
      <c r="AN74" s="3"/>
      <c r="AO74" s="3"/>
      <c r="AP74" s="3"/>
      <c r="AR74" s="4"/>
      <c r="AT74" s="4"/>
      <c r="AU74" s="4"/>
      <c r="AV74" s="4"/>
      <c r="AW74" s="4"/>
      <c r="BA74" s="4"/>
    </row>
    <row r="75" spans="21:53">
      <c r="U75" s="3"/>
      <c r="X75" s="4"/>
      <c r="Y75" s="4"/>
      <c r="Z75" s="4"/>
      <c r="AA75" s="4"/>
      <c r="AB75" s="4"/>
      <c r="AC75" s="4"/>
      <c r="AD75" s="4"/>
      <c r="AE75" s="4"/>
      <c r="AF75" s="4"/>
      <c r="AJ75" s="3"/>
      <c r="AK75" s="3"/>
      <c r="AL75" s="3"/>
      <c r="AM75" s="3"/>
      <c r="AN75" s="3"/>
      <c r="AO75" s="3"/>
      <c r="AP75" s="3"/>
      <c r="AR75" s="4"/>
      <c r="AT75" s="4"/>
      <c r="AU75" s="4"/>
      <c r="AV75" s="4"/>
      <c r="AW75" s="4"/>
      <c r="BA75" s="4"/>
    </row>
    <row r="76" spans="21:53">
      <c r="U76" s="3"/>
      <c r="X76" s="4"/>
      <c r="Y76" s="4"/>
      <c r="Z76" s="4"/>
      <c r="AA76" s="4"/>
      <c r="AB76" s="4"/>
      <c r="AC76" s="4"/>
      <c r="AD76" s="4"/>
      <c r="AE76" s="4"/>
      <c r="AF76" s="4"/>
      <c r="AJ76" s="3"/>
      <c r="AK76" s="3"/>
      <c r="AL76" s="3"/>
      <c r="AM76" s="3"/>
      <c r="AN76" s="3"/>
      <c r="AO76" s="3"/>
      <c r="AP76" s="3"/>
      <c r="AR76" s="4"/>
      <c r="AT76" s="4"/>
      <c r="AU76" s="4"/>
      <c r="AV76" s="4"/>
      <c r="AW76" s="4"/>
      <c r="BA76" s="4"/>
    </row>
    <row r="77" spans="21:53">
      <c r="U77" s="3"/>
      <c r="X77" s="4"/>
      <c r="Y77" s="4"/>
      <c r="Z77" s="4"/>
      <c r="AA77" s="4"/>
      <c r="AB77" s="4"/>
      <c r="AC77" s="4"/>
      <c r="AD77" s="4"/>
      <c r="AE77" s="4"/>
      <c r="AF77" s="4"/>
      <c r="AJ77" s="3"/>
      <c r="AK77" s="3"/>
      <c r="AL77" s="3"/>
      <c r="AM77" s="3"/>
      <c r="AN77" s="3"/>
      <c r="AO77" s="3"/>
      <c r="AP77" s="3"/>
      <c r="AR77" s="4"/>
      <c r="AT77" s="4"/>
      <c r="AU77" s="4"/>
      <c r="AV77" s="4"/>
      <c r="AW77" s="4"/>
      <c r="BA77" s="4"/>
    </row>
    <row r="78" spans="21:53">
      <c r="U78" s="3"/>
      <c r="X78" s="4"/>
      <c r="Y78" s="4"/>
      <c r="Z78" s="4"/>
      <c r="AA78" s="4"/>
      <c r="AB78" s="4"/>
      <c r="AC78" s="4"/>
      <c r="AD78" s="4"/>
      <c r="AE78" s="4"/>
      <c r="AF78" s="4"/>
      <c r="AJ78" s="3"/>
      <c r="AK78" s="3"/>
      <c r="AL78" s="3"/>
      <c r="AM78" s="3"/>
      <c r="AN78" s="3"/>
      <c r="AO78" s="3"/>
      <c r="AP78" s="3"/>
      <c r="AR78" s="4"/>
      <c r="AT78" s="4"/>
      <c r="AU78" s="4"/>
      <c r="AV78" s="4"/>
      <c r="AW78" s="4"/>
      <c r="BA78" s="4"/>
    </row>
  </sheetData>
  <sheetProtection password="8386" sheet="1" objects="1" scenarios="1" selectLockedCells="1"/>
  <mergeCells count="13">
    <mergeCell ref="D6:F6"/>
    <mergeCell ref="W11:AB11"/>
    <mergeCell ref="AF11:AH11"/>
    <mergeCell ref="AI11:AK11"/>
    <mergeCell ref="AL11:AN11"/>
    <mergeCell ref="W8:Y8"/>
    <mergeCell ref="K11:M11"/>
    <mergeCell ref="O11:Q11"/>
    <mergeCell ref="AK2:AL2"/>
    <mergeCell ref="AM2:AQ2"/>
    <mergeCell ref="AK3:AL3"/>
    <mergeCell ref="AS11:AV11"/>
    <mergeCell ref="AW11:AZ11"/>
  </mergeCells>
  <conditionalFormatting sqref="S22">
    <cfRule type="cellIs" dxfId="7" priority="8" operator="greaterThan">
      <formula>Q22</formula>
    </cfRule>
  </conditionalFormatting>
  <conditionalFormatting sqref="S33:S34">
    <cfRule type="cellIs" dxfId="6" priority="7" operator="greaterThan">
      <formula>Q33</formula>
    </cfRule>
  </conditionalFormatting>
  <conditionalFormatting sqref="S44:S45">
    <cfRule type="cellIs" dxfId="5" priority="6" operator="greaterThan">
      <formula>Q44</formula>
    </cfRule>
  </conditionalFormatting>
  <conditionalFormatting sqref="S55">
    <cfRule type="cellIs" dxfId="4" priority="5" operator="greaterThan">
      <formula>Q55</formula>
    </cfRule>
  </conditionalFormatting>
  <conditionalFormatting sqref="S22">
    <cfRule type="cellIs" dxfId="3" priority="4" operator="greaterThan">
      <formula>Q22</formula>
    </cfRule>
  </conditionalFormatting>
  <conditionalFormatting sqref="S44">
    <cfRule type="cellIs" dxfId="2" priority="3" operator="greaterThan">
      <formula>Q44</formula>
    </cfRule>
  </conditionalFormatting>
  <conditionalFormatting sqref="S55">
    <cfRule type="cellIs" dxfId="1" priority="2" operator="greaterThan">
      <formula>Q55</formula>
    </cfRule>
  </conditionalFormatting>
  <conditionalFormatting sqref="S44">
    <cfRule type="cellIs" dxfId="0" priority="1" operator="greaterThan">
      <formula>Q44</formula>
    </cfRule>
  </conditionalFormatting>
  <dataValidations count="2">
    <dataValidation type="list" allowBlank="1" showInputMessage="1" showErrorMessage="1" sqref="I14:I21">
      <formula1>AI$4:AI$7</formula1>
    </dataValidation>
    <dataValidation type="list" allowBlank="1" showInputMessage="1" showErrorMessage="1" sqref="F9">
      <formula1>"E0,E1,E2,E3,E4"</formula1>
    </dataValidation>
  </dataValidations>
  <pageMargins left="0.74803149606299213" right="0.23622047244094491" top="0.35433070866141736" bottom="0.74803149606299213" header="0.31496062992125984" footer="0.31496062992125984"/>
  <pageSetup paperSize="9" scale="64" orientation="landscape" r:id="rId1"/>
  <ignoredErrors>
    <ignoredError sqref="O35:P35 K35:M35" evalError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4"/>
  <sheetViews>
    <sheetView zoomScale="80" zoomScaleNormal="80" workbookViewId="0"/>
  </sheetViews>
  <sheetFormatPr defaultColWidth="9.140625" defaultRowHeight="15"/>
  <sheetData>
    <row r="1" spans="1:1">
      <c r="A1" s="83" t="s">
        <v>91</v>
      </c>
    </row>
    <row r="3" spans="1:1">
      <c r="A3" t="s">
        <v>111</v>
      </c>
    </row>
    <row r="4" spans="1:1">
      <c r="A4" t="s">
        <v>115</v>
      </c>
    </row>
    <row r="5" spans="1:1">
      <c r="A5" t="s">
        <v>116</v>
      </c>
    </row>
    <row r="6" spans="1:1">
      <c r="A6" t="s">
        <v>117</v>
      </c>
    </row>
    <row r="8" spans="1:1">
      <c r="A8" t="s">
        <v>112</v>
      </c>
    </row>
    <row r="9" spans="1:1">
      <c r="A9" s="82" t="s">
        <v>128</v>
      </c>
    </row>
    <row r="10" spans="1:1">
      <c r="A10" s="82" t="s">
        <v>129</v>
      </c>
    </row>
    <row r="12" spans="1:1">
      <c r="A12" t="s">
        <v>113</v>
      </c>
    </row>
    <row r="13" spans="1:1">
      <c r="A13" s="82" t="s">
        <v>103</v>
      </c>
    </row>
    <row r="14" spans="1:1">
      <c r="A14" s="82" t="s">
        <v>104</v>
      </c>
    </row>
    <row r="15" spans="1:1">
      <c r="A15" s="82" t="s">
        <v>130</v>
      </c>
    </row>
    <row r="17" spans="1:1">
      <c r="A17" s="82" t="s">
        <v>105</v>
      </c>
    </row>
    <row r="18" spans="1:1">
      <c r="A18" s="82" t="s">
        <v>106</v>
      </c>
    </row>
    <row r="19" spans="1:1">
      <c r="A19" s="82"/>
    </row>
    <row r="20" spans="1:1">
      <c r="A20" s="89" t="s">
        <v>119</v>
      </c>
    </row>
    <row r="21" spans="1:1">
      <c r="A21" s="82"/>
    </row>
    <row r="22" spans="1:1">
      <c r="A22" s="82" t="s">
        <v>120</v>
      </c>
    </row>
    <row r="23" spans="1:1">
      <c r="A23" s="82" t="s">
        <v>123</v>
      </c>
    </row>
    <row r="24" spans="1:1">
      <c r="A24" s="82" t="s">
        <v>127</v>
      </c>
    </row>
    <row r="25" spans="1:1">
      <c r="A25" s="82"/>
    </row>
    <row r="26" spans="1:1">
      <c r="A26" s="82" t="s">
        <v>121</v>
      </c>
    </row>
    <row r="27" spans="1:1">
      <c r="A27" s="84" t="s">
        <v>118</v>
      </c>
    </row>
    <row r="29" spans="1:1">
      <c r="A29" s="83" t="s">
        <v>96</v>
      </c>
    </row>
    <row r="31" spans="1:1">
      <c r="A31" t="s">
        <v>100</v>
      </c>
    </row>
    <row r="33" spans="1:1">
      <c r="A33" t="s">
        <v>98</v>
      </c>
    </row>
    <row r="34" spans="1:1">
      <c r="A34" s="84" t="s">
        <v>97</v>
      </c>
    </row>
  </sheetData>
  <hyperlinks>
    <hyperlink ref="A34" r:id="rId1"/>
    <hyperlink ref="A27" r:id="rId2"/>
  </hyperlinks>
  <pageMargins left="0.7" right="0.7" top="0.75" bottom="0.75" header="0.3" footer="0.3"/>
  <pageSetup paperSize="9" orientation="portrait" horizontalDpi="4294967293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Lichthinder</vt:lpstr>
      <vt:lpstr>Uitleg</vt:lpstr>
      <vt:lpstr>Lichthinder!Print_Area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Lichthinder grenswaarden berekening</dc:title>
  <dc:creator>André Bakker</dc:creator>
  <cp:lastModifiedBy>Andre</cp:lastModifiedBy>
  <cp:lastPrinted>2025-07-30T13:52:30Z</cp:lastPrinted>
  <dcterms:created xsi:type="dcterms:W3CDTF">2019-02-07T18:43:13Z</dcterms:created>
  <dcterms:modified xsi:type="dcterms:W3CDTF">2025-07-30T14:02:36Z</dcterms:modified>
</cp:coreProperties>
</file>